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Users\AllyAi\Downloads\"/>
    </mc:Choice>
  </mc:AlternateContent>
  <xr:revisionPtr revIDLastSave="0" documentId="13_ncr:1_{C7363F5F-5766-42CA-9B0D-9B48836C115F}" xr6:coauthVersionLast="46" xr6:coauthVersionMax="46" xr10:uidLastSave="{00000000-0000-0000-0000-000000000000}"/>
  <bookViews>
    <workbookView xWindow="-120" yWindow="-120" windowWidth="29040" windowHeight="15840" xr2:uid="{00000000-000D-0000-FFFF-FFFF00000000}"/>
  </bookViews>
  <sheets>
    <sheet name="Front Page" sheetId="7" r:id="rId1"/>
    <sheet name="Model" sheetId="1" r:id="rId2"/>
    <sheet name="Supplemental Data" sheetId="11" r:id="rId3"/>
    <sheet name="Guidance" sheetId="10" r:id="rId4"/>
    <sheet name="Summary Page" sheetId="9" r:id="rId5"/>
    <sheet name="Update Log" sheetId="8" r:id="rId6"/>
  </sheets>
  <definedNames>
    <definedName name="_xlnm._FilterDatabase" localSheetId="3" hidden="1">Guidance!$A$5:$T$5</definedName>
    <definedName name="AA.AlternatePriceSourceStartPeriod">"Q1-2018"</definedName>
    <definedName name="AA.CompareQuarters.LatestMRQ">"Q1-2021"</definedName>
    <definedName name="AA.CSIN">"NVC8NN0168"</definedName>
    <definedName name="AA.DBMacroVersion">"1.0.13.0"</definedName>
    <definedName name="AA.HardcodeChecker.LatestMRQ">"Q3-2019"</definedName>
    <definedName name="AA.ModelChecks.LatestMRQ">"Q3-2021"</definedName>
    <definedName name="AA.ModelChecks.LatestVersionNumber">"2.40.10.0"</definedName>
    <definedName name="AA.ModelColorScheme">"Canalyst"</definedName>
    <definedName name="AA.ModelUpdateStatus.AddingNewRows">"FALSE"</definedName>
    <definedName name="AA.ModelUpdateStatus.ChangeInDrivers">"FALSE"</definedName>
    <definedName name="AA.ModelUpdateStatus.ReorganizationOfRows">"FALSE"</definedName>
    <definedName name="AA.ModelVersion">"Q3-2021.28"</definedName>
    <definedName name="AA.PeriodLayout">"QFY"</definedName>
    <definedName name="AA.PersonalMacro.VersionNumber">""</definedName>
    <definedName name="AA.SessionToUploadId">""</definedName>
    <definedName name="AA.StartWorkModelVersion">"Q3-2021.27"</definedName>
    <definedName name="AA.StartWorkType">""</definedName>
    <definedName name="AA.SubyearType">"Q"</definedName>
    <definedName name="AA.TemplateUpdateToLatestSuccessful">"Q1-2019.25"</definedName>
    <definedName name="AA.TemplateUpgradeAttempted">"TRUE"</definedName>
    <definedName name="AA.TemplateVersion">"7.4.1.0"</definedName>
    <definedName name="AA.UpdateType">"Regular"</definedName>
    <definedName name="FP.DataSource">'Front Page'!$H$16</definedName>
    <definedName name="FP.DataSourceName">'Front Page'!$H$15</definedName>
    <definedName name="FP.Disclaimer">'Front Page'!$C$22</definedName>
    <definedName name="FP.LastPrice">'Front Page'!$H$20</definedName>
    <definedName name="FP.LastPriceDate">'Front Page'!$F$20</definedName>
    <definedName name="FP.RealTimeToggle">'Front Page'!$H$18</definedName>
    <definedName name="FP.UpdateDate">'Front Page'!$H$11</definedName>
    <definedName name="FP.UpdateEvent">'Front Page'!$H$13</definedName>
    <definedName name="FP_Comment">'Front Page'!$P$9:$P$16</definedName>
    <definedName name="FP_StockPriceOverride">'Front Page'!$C$20:$H$20</definedName>
    <definedName name="GD.CompanyName">Guidance!$B$1</definedName>
    <definedName name="GD.MRQ">Guidance!$F$2</definedName>
    <definedName name="GD_Difference_Mid_Absolute">Guidance!$O:$O</definedName>
    <definedName name="GD_Difference_Mid_Relative">Guidance!$P:$P</definedName>
    <definedName name="GD_Guidance_High">Guidance!$I:$I</definedName>
    <definedName name="GD_Guidance_Low">Guidance!$H:$H</definedName>
    <definedName name="GD_Guidance_Mid">Guidance!$J:$J</definedName>
    <definedName name="GD_Header_Column">Guidance!$5:$5</definedName>
    <definedName name="GD_Header_Section">Guidance!$4:$4</definedName>
    <definedName name="GD_Index">Guidance!$A:$A</definedName>
    <definedName name="GD_Item">Guidance!$D:$D</definedName>
    <definedName name="GD_Item_FiscalPeriod">Guidance!$F:$F</definedName>
    <definedName name="GD_Item_Name">Guidance!$E:$E</definedName>
    <definedName name="GD_Model_Output">Guidance!$M:$M</definedName>
    <definedName name="GD_Model_Type">Guidance!$L:$L</definedName>
    <definedName name="GD_Type">Guidance!$B:$B</definedName>
    <definedName name="GD_Update_Date">Guidance!$R:$R</definedName>
    <definedName name="GD_Update_Link">Guidance!$S:$S</definedName>
    <definedName name="HP.MRFX">Model!$B$805</definedName>
    <definedName name="HP.ReportCurrency">Model!$B$804</definedName>
    <definedName name="HP.Ticker">Model!$A$2</definedName>
    <definedName name="HP.TradeCurrency">Model!$B$802</definedName>
    <definedName name="HP.TradeCurrency.HardCoded">Model!$B$803</definedName>
    <definedName name="MO.CFY">Model!$B$809</definedName>
    <definedName name="MO.CompanyName">Model!$A$1</definedName>
    <definedName name="MO.DataSourceIndex">Model!$B$811</definedName>
    <definedName name="MO.DataSourceName">Model!$A$4</definedName>
    <definedName name="MO.FirstForecastedFiscalYear">Model!$B$810</definedName>
    <definedName name="MO.LastPrice">Model!$B$3</definedName>
    <definedName name="MO.LastPriceDate">Model!$B$799</definedName>
    <definedName name="MO.LastPriceFormula">Model!$B$801</definedName>
    <definedName name="MO.LastPriceHardcoded">Model!$B$798</definedName>
    <definedName name="MO.MRFP">Model!$B$808</definedName>
    <definedName name="MO.MRFPColumnNumber">Model!$B$807</definedName>
    <definedName name="MO.MRFX.Hardcoded">Model!$B$806</definedName>
    <definedName name="MO.RealTime">Model!$B$4</definedName>
    <definedName name="MO.RealTimeStockPriceToggle">Model!$B$800</definedName>
    <definedName name="MO.ReportCurrency">Model!$B$804</definedName>
    <definedName name="MO.ReportFX">Model!$A$5</definedName>
    <definedName name="MO.Ticker">Model!$A$2</definedName>
    <definedName name="MO.Ticker.Bloomberg">Model!$A$734</definedName>
    <definedName name="MO.Ticker.CapIQ">Model!$A$735</definedName>
    <definedName name="MO.Ticker.FactSet">Model!$A$736</definedName>
    <definedName name="MO.Ticker.Thomson">Model!$A$737</definedName>
    <definedName name="MO.TradingCurrency">Model!$A$3</definedName>
    <definedName name="MO.ValuationToggle">Model!$B$472</definedName>
    <definedName name="MO_AN_EBITDA_Adj">Model!$359:$359</definedName>
    <definedName name="MO_AN_NI_NONGAAP_Diluted">Model!$372:$372</definedName>
    <definedName name="MO_BS_AP">Model!$678:$678</definedName>
    <definedName name="MO_BS_CA">Model!$659:$659</definedName>
    <definedName name="MO_BS_Cash">Model!$650:$650</definedName>
    <definedName name="MO_BS_CL">Model!$685:$685</definedName>
    <definedName name="MO_BS_DefRev">Model!$684:$684</definedName>
    <definedName name="MO_BS_Intangibles">Model!$668:$668</definedName>
    <definedName name="MO_BS_INV">Model!$654:$654</definedName>
    <definedName name="MO_BS_NCA">Model!$673:$673</definedName>
    <definedName name="MO_BS_NCI">Model!$704:$704</definedName>
    <definedName name="MO_BS_NCL">Model!$694:$694</definedName>
    <definedName name="MO_BS_OCI">Model!$701:$701</definedName>
    <definedName name="MO_BS_OL_Current">Model!$679:$679</definedName>
    <definedName name="MO_BS_OL_NonCurrent">Model!$691:$691</definedName>
    <definedName name="MO_BS_PPE">Model!$669:$669</definedName>
    <definedName name="MO_BS_RestrictedCash_Current">Model!$657:$657</definedName>
    <definedName name="MO_BS_RestrictedCash_NonCurrent">Model!$671:$671</definedName>
    <definedName name="MO_BS_RetainedEarnings">Model!$702:$702</definedName>
    <definedName name="MO_BS_SE">Model!$703:$703</definedName>
    <definedName name="MO_BS_STInvestments">Model!$651:$651</definedName>
    <definedName name="MO_BS_TA">Model!$674:$674</definedName>
    <definedName name="MO_BS_TaxAssets_Deferred_Current">Model!$655:$655</definedName>
    <definedName name="MO_BS_TaxAssets_Deferred_NonCurrent">Model!$670:$670</definedName>
    <definedName name="MO_BS_TL">Model!$695:$695</definedName>
    <definedName name="MO_BS_TLSE">Model!$705:$705</definedName>
    <definedName name="MO_BSS_Cash">Model!$453:$453</definedName>
    <definedName name="MO_BSS_Debt">Model!$456:$456</definedName>
    <definedName name="MO_BSS_Debt_LT">Model!$455:$455</definedName>
    <definedName name="MO_BSS_Debt_Net">Model!$458:$458</definedName>
    <definedName name="MO_BSS_Debt_ST">Model!$454:$454</definedName>
    <definedName name="MO_BSS_Debt_ToCF">Model!$469:$469</definedName>
    <definedName name="MO_BSS_Debt_ToEBITDA">Model!$468:$468</definedName>
    <definedName name="MO_BSS_IE">Model!$460:$460</definedName>
    <definedName name="MO_BSS_IE_Net">Model!$464:$464</definedName>
    <definedName name="MO_BSS_II">Model!$462:$462</definedName>
    <definedName name="MO_BSS_InterestRate_Cash">Model!$463:$463</definedName>
    <definedName name="MO_BSS_InterestRate_Debt">Model!$461:$461</definedName>
    <definedName name="MO_BSS_NetInterestCoverage">Model!$467:$467</definedName>
    <definedName name="MO_BSS_NetInterestRate_Debt">Model!$465:$465</definedName>
    <definedName name="MO_BSS_OL">Model!$457:$457</definedName>
    <definedName name="MO_CCFS_Balance_Begin">Model!$550:$550</definedName>
    <definedName name="MO_CCFS_Balance_End">Model!$551:$551</definedName>
    <definedName name="MO_CCFS_CFF">Model!$545:$545</definedName>
    <definedName name="MO_CCFS_CFI">Model!$528:$528</definedName>
    <definedName name="MO_CCFS_CFO">Model!$515:$515</definedName>
    <definedName name="MO_CCFS_CFO_BeforeWC">Model!$508:$508</definedName>
    <definedName name="MO_CCFS_FX">Model!$547:$547</definedName>
    <definedName name="MO_CCFS_NetChange">Model!$548:$548</definedName>
    <definedName name="MO_CFS_Balance_Begin">Model!$610:$610</definedName>
    <definedName name="MO_CFS_Balance_End">Model!$611:$611</definedName>
    <definedName name="MO_CFS_Buyback">Model!$600:$600</definedName>
    <definedName name="MO_CFS_CFF">Model!$605:$605</definedName>
    <definedName name="MO_CFS_CFI">Model!$588:$588</definedName>
    <definedName name="MO_CFS_CFO">Model!$575:$575</definedName>
    <definedName name="MO_CFS_CFO_BeforeWC">Model!$568:$568</definedName>
    <definedName name="MO_CFS_FX">Model!$607:$607</definedName>
    <definedName name="MO_CFS_NetChange">Model!$608:$608</definedName>
    <definedName name="MO_CFS_NI">Model!$555:$555</definedName>
    <definedName name="MO_CFS_SBC">Model!$561:$561</definedName>
    <definedName name="MO_CFSum_Acquisition">Model!$435:$435</definedName>
    <definedName name="MO_CFSum_Capex">Model!$433:$433</definedName>
    <definedName name="MO_CFSum_CFO_BeforeWC">Model!$430:$430</definedName>
    <definedName name="MO_CFSum_CFPS">Model!$431:$431</definedName>
    <definedName name="MO_CFSum_Divestiture">Model!$436:$436</definedName>
    <definedName name="MO_CFSum_Dividend">Model!$437:$437</definedName>
    <definedName name="MO_CFSum_DPS">Model!$438:$438</definedName>
    <definedName name="MO_CFSum_FCF_PostDivPostAD">Model!$449:$449</definedName>
    <definedName name="MO_CFSum_FCF_PostDivPostADPostDebtPostBuyback">Model!$450:$450</definedName>
    <definedName name="MO_CFSum_FCF_PostDivPreAD">Model!$448:$448</definedName>
    <definedName name="MO_CFSum_FCF_PreDiv">Model!$447:$447</definedName>
    <definedName name="MO_CFSum_NetDebtIssuance">Model!$440:$440</definedName>
    <definedName name="MO_CFSum_NetShares">Model!$441:$441</definedName>
    <definedName name="MO_CFSum_NetShares_Price">Model!$442:$442</definedName>
    <definedName name="MO_CFSum_SBC">Model!$444:$444</definedName>
    <definedName name="MO_CFSum_SBC_Margin">Model!$445:$445</definedName>
    <definedName name="MO_Checks_Bottom">Model!$C$710:$XFD$729</definedName>
    <definedName name="MO_Checks_BS">Model!$707:$707</definedName>
    <definedName name="MO_Checks_CF">Model!$613:$613</definedName>
    <definedName name="MO_Checks_IS">Model!$351:$351</definedName>
    <definedName name="MO_Common_Column_A">Model!$A:$A</definedName>
    <definedName name="MO_Common_Column_B">Model!$B:$B</definedName>
    <definedName name="MO_Common_ColumnHeader">Model!$5:$5</definedName>
    <definedName name="MO_Common_CompanySubtitle">Model!$2:$2</definedName>
    <definedName name="MO_Common_CompanyTitle">Model!$1:$1</definedName>
    <definedName name="MO_Common_FPDays">Model!$3:$3</definedName>
    <definedName name="MO_Common_QEndDate">Model!$4:$4</definedName>
    <definedName name="MO_DAF_A">Model!$634:$634</definedName>
    <definedName name="MO_DAF_A_Percentage">Model!$640:$640</definedName>
    <definedName name="MO_DAF_Capex">Model!$645:$645</definedName>
    <definedName name="MO_DAF_D">Model!$628:$628</definedName>
    <definedName name="MO_DAF_D_Percentage">Model!$639:$639</definedName>
    <definedName name="MO_DAF_DA">Model!$644:$644</definedName>
    <definedName name="MO_DAF_Intangibles_BoP">Model!$633:$633</definedName>
    <definedName name="MO_DAF_Intangibles_Capex">Model!$635:$635</definedName>
    <definedName name="MO_DAF_Intangibles_Capex_Percent">Model!$646:$646</definedName>
    <definedName name="MO_DAF_Intangibles_EoP">Model!$637:$637</definedName>
    <definedName name="MO_DAF_Intangibles_Life">Model!$642:$642</definedName>
    <definedName name="MO_DAF_Intangibles_Other">Model!$636:$636</definedName>
    <definedName name="MO_DAF_PPE_BoP">Model!$627:$627</definedName>
    <definedName name="MO_DAF_PPE_Capex">Model!$629:$629</definedName>
    <definedName name="MO_DAF_PPE_EoP">Model!$631:$631</definedName>
    <definedName name="MO_DAF_PPE_Life">Model!$641:$641</definedName>
    <definedName name="MO_DAF_PPE_Other">Model!$630:$630</definedName>
    <definedName name="MO_GA_TotalRevenue">Model!$32:$32</definedName>
    <definedName name="MO_IS_EBIT">Model!$343:$343</definedName>
    <definedName name="MO_IS_EBT">Model!$347:$347</definedName>
    <definedName name="MO_IS_FirstRow">Model!$334:$334</definedName>
    <definedName name="MO_IS_GP">Model!$338:$338</definedName>
    <definedName name="MO_IS_NI_ContinOp">Model!$349:$349</definedName>
    <definedName name="MO_IS_REV">Model!$334:$334</definedName>
    <definedName name="MO_MA_COGS">Model!$313:$313</definedName>
    <definedName name="MO_MA_DA">Model!$327:$327</definedName>
    <definedName name="MO_MA_EBIT">Model!$323:$323</definedName>
    <definedName name="MO_MA_EBIT_Adj">Model!$324:$324</definedName>
    <definedName name="MO_MA_EBITDA">Model!$329:$329</definedName>
    <definedName name="MO_MA_EBITDA_Adj">Model!$330:$330</definedName>
    <definedName name="MO_MA_GA">Model!$322:$322</definedName>
    <definedName name="MO_MA_GM">Model!$314:$314</definedName>
    <definedName name="MO_MA_RD">Model!$317:$317</definedName>
    <definedName name="MO_MA_SBC">Model!$328:$328</definedName>
    <definedName name="MO_MA_SGA">Model!$322:$322</definedName>
    <definedName name="MO_MA_SM">Model!$321:$321</definedName>
    <definedName name="MO_RIS_Adjustments_Dilution_GAAP">Model!$411:$411</definedName>
    <definedName name="MO_RIS_Adjustments_Dilution_NONGAAP">Model!$414:$414</definedName>
    <definedName name="MO_RIS_Adjustments_NONGAAP">Model!$413:$413</definedName>
    <definedName name="MO_RIS_COGS">Model!$382:$382</definedName>
    <definedName name="MO_RIS_DA">Model!$392:$392</definedName>
    <definedName name="MO_RIS_DAintangibles">Model!$208:$208</definedName>
    <definedName name="MO_RIS_DisCont">Model!$407:$407</definedName>
    <definedName name="MO_RIS_Dividend_Prefs">Model!$409:$409</definedName>
    <definedName name="MO_RIS_EBIT">Model!$388:$388</definedName>
    <definedName name="MO_RIS_EBIT_Adj">Model!$389:$389</definedName>
    <definedName name="MO_RIS_EBITDA">Model!$394:$394</definedName>
    <definedName name="MO_RIS_EBITDA_Adj">Model!$395:$395</definedName>
    <definedName name="MO_RIS_EBT">Model!$402:$402</definedName>
    <definedName name="MO_RIS_EPS_WAB">Model!$420:$420</definedName>
    <definedName name="MO_RIS_EPS_WAD">Model!$421:$421</definedName>
    <definedName name="MO_RIS_EPS_WAD_Adj">Model!$422:$422</definedName>
    <definedName name="MO_RIS_GA">Model!$387:$387</definedName>
    <definedName name="MO_RIS_GP">Model!$383:$383</definedName>
    <definedName name="MO_RIS_IE">Model!$398:$398</definedName>
    <definedName name="MO_RIS_II">Model!$399:$399</definedName>
    <definedName name="MO_RIS_NCI">Model!$408:$408</definedName>
    <definedName name="MO_RIS_NI_ContinOp">Model!$406:$406</definedName>
    <definedName name="MO_RIS_NI_GAAP_Basic">Model!$410:$410</definedName>
    <definedName name="MO_RIS_NI_GAAP_Diluted">Model!$412:$412</definedName>
    <definedName name="MO_RIS_NI_NONGAAP_Diluted">Model!$415:$415</definedName>
    <definedName name="MO_RIS_OI">Model!$400:$400</definedName>
    <definedName name="MO_RIS_OTI">Model!$401:$401</definedName>
    <definedName name="MO_RIS_RD">Model!$385:$385</definedName>
    <definedName name="MO_RIS_REV">Model!$379:$379</definedName>
    <definedName name="MO_RIS_SBC">Model!$393:$393</definedName>
    <definedName name="MO_RIS_ShareCount_WAB">Model!$425:$425</definedName>
    <definedName name="MO_RIS_ShareCount_WAD">Model!$426:$426</definedName>
    <definedName name="MO_RIS_ShareCount_WAD_Adj">Model!$427:$427</definedName>
    <definedName name="MO_RIS_SM">Model!$386:$386</definedName>
    <definedName name="MO_RIS_Tax_Current">Model!$404:$404</definedName>
    <definedName name="MO_RIS_Tax_Deferred">Model!$405:$405</definedName>
    <definedName name="MO_RIS_TaxRate_Current">Model!$417:$417</definedName>
    <definedName name="MO_RIS_TaxRate_Deferred">Model!$418:$418</definedName>
    <definedName name="MO_Section_AdjustedNumbers">Model!$353:$353</definedName>
    <definedName name="MO_Section_BalanceSheet">Model!$648:$648</definedName>
    <definedName name="MO_Section_BalanceSheetSummary">Model!$452:$452</definedName>
    <definedName name="MO_Section_Canalyst">'Supplemental Data'!$91:$91</definedName>
    <definedName name="MO_Section_CashFlowStatement">Model!$553:$553</definedName>
    <definedName name="MO_Section_CashFlowSummary">Model!$429:$429</definedName>
    <definedName name="MO_Section_ConsolidatedSummary">Model!$6:$6</definedName>
    <definedName name="MO_Section_CumulativeCashFlowStatement">Model!$493:$493</definedName>
    <definedName name="MO_Section_DAForecasting">Model!$626:$626</definedName>
    <definedName name="MO_Section_IncomeStatement">Model!$333:$333</definedName>
    <definedName name="MO_Section_KeyMetricsContentAssetsBreakdownFS">'Supplemental Data'!$82:$82</definedName>
    <definedName name="MO_Section_KeyMetricsContentObligationsFS">'Supplemental Data'!$6:$6</definedName>
    <definedName name="MO_Section_KeyMetricsHeadcountFS">'Supplemental Data'!$18:$18</definedName>
    <definedName name="MO_Section_KeyMetricsShareofUSTVTimePR">Model!$255:$255</definedName>
    <definedName name="MO_Section_KeyMetricsYYCostGranularityFS">Model!$268:$268</definedName>
    <definedName name="MO_Section_LastRow">Model!$813:$813</definedName>
    <definedName name="MO_Section_MarginAnalysis">Model!$309:$309</definedName>
    <definedName name="MO_Section_ModelChecks">Model!$709:$709</definedName>
    <definedName name="MO_Section_OperatingExpenseForecasting">Model!$205:$205</definedName>
    <definedName name="MO_Section_OperatingStatsContentLibraryAmortizationSchedule">Model!$240:$240</definedName>
    <definedName name="MO_Section_OperatingStatsMembershipsMDA">'Supplemental Data'!$55:$55</definedName>
    <definedName name="MO_Section_RevisedIncomeStatement">Model!$378:$378</definedName>
    <definedName name="MO_Section_SegmentedResultsAsiaPacificStreamingFS">Model!$115:$115</definedName>
    <definedName name="MO_Section_SegmentedResultsCostsBreakdownFS">'Supplemental Data'!$34:$34</definedName>
    <definedName name="MO_Section_SegmentedResultsEMEAStreamingFS">Model!$75:$75</definedName>
    <definedName name="MO_Section_SegmentedResultsLatinAmericaStreamingFS">Model!$95:$95</definedName>
    <definedName name="MO_Section_SegmentedResultsRevenueBreakdownFS">'Supplemental Data'!$25:$25</definedName>
    <definedName name="MO_Section_SegmentedResultsUnitedStatesDVDFS">Model!$135:$135</definedName>
    <definedName name="MO_Section_SegmentedResultsUSandCanadaStreamingFS">Model!$38:$38</definedName>
    <definedName name="MO_Section_SegmentSummary">Model!$140:$140</definedName>
    <definedName name="MO_Section_Tables">Model!$731:$731</definedName>
    <definedName name="MO_Section_Valuation">Model!$471:$471</definedName>
    <definedName name="MO_Section_WorkingCapitalForecasting">Model!$615:$615</definedName>
    <definedName name="MO_SNA_ConsensusEstimatePeriodNumber">Model!$755:$755</definedName>
    <definedName name="MO_SNA_ConsensusEstimatePeriodType">Model!$754:$754</definedName>
    <definedName name="MO_SNA_FPStartDate">Model!$766:$766</definedName>
    <definedName name="MO_SNA_IsHistoricalPeriod">Model!$767:$767</definedName>
    <definedName name="MO_SNA_LastDataRow">Model!$705:$705</definedName>
    <definedName name="MO_SPT_FXAverage">Model!$789:$789</definedName>
    <definedName name="MO_SPT_FXAverage_Sources">Model!$790:$794</definedName>
    <definedName name="MO_SPT_FXAverage_Sources_Bloomberg">Model!$791:$791</definedName>
    <definedName name="MO_SPT_FXAverage_Sources_CapIQ">Model!$792:$792</definedName>
    <definedName name="MO_SPT_FXAverage_Sources_FactSet">Model!$793:$793</definedName>
    <definedName name="MO_SPT_FXAverage_Sources_RealTimeOff">Model!$790:$790</definedName>
    <definedName name="MO_SPT_FXAverage_Sources_Thomson">Model!$794:$794</definedName>
    <definedName name="MO_SPT_StockAverage">Model!$782:$782</definedName>
    <definedName name="MO_SPT_StockAverage_Sources">Model!$783:$787</definedName>
    <definedName name="MO_SPT_StockAverage_Sources_Bloomberg">Model!$784:$784</definedName>
    <definedName name="MO_SPT_StockAverage_Sources_CapIQ">Model!$785:$785</definedName>
    <definedName name="MO_SPT_StockAverage_Sources_FactSet">Model!$786:$786</definedName>
    <definedName name="MO_SPT_StockAverage_Sources_RealTimeOff">Model!$783:$783</definedName>
    <definedName name="MO_SPT_StockAverage_Sources_Thomson">Model!$787:$787</definedName>
    <definedName name="MO_SPT_StockHigh">Model!$768:$768</definedName>
    <definedName name="MO_SPT_StockHigh_Sources">Model!$769:$773</definedName>
    <definedName name="MO_SPT_StockHigh_Sources_Bloomberg">Model!$770:$770</definedName>
    <definedName name="MO_SPT_StockHigh_Sources_CapIQ">Model!$771:$771</definedName>
    <definedName name="MO_SPT_StockHigh_Sources_FactSet">Model!$772:$772</definedName>
    <definedName name="MO_SPT_StockHigh_Sources_RealTimeOff">Model!$769:$769</definedName>
    <definedName name="MO_SPT_StockHigh_Sources_Thomson">Model!$773:$773</definedName>
    <definedName name="MO_SPT_StockLow">Model!$775:$775</definedName>
    <definedName name="MO_SPT_StockLow_Sources">Model!$776:$780</definedName>
    <definedName name="MO_SPT_StockLow_Sources_Bloomberg">Model!$777:$777</definedName>
    <definedName name="MO_SPT_StockLow_Sources_CapIQ">Model!$778:$778</definedName>
    <definedName name="MO_SPT_StockLow_Sources_FactSet">Model!$779:$779</definedName>
    <definedName name="MO_SPT_StockLow_Sources_RealTimeOff">Model!$776:$776</definedName>
    <definedName name="MO_SPT_StockLow_Sources_Thomson">Model!$780:$780</definedName>
    <definedName name="MO_SubSection_BS_CA">Model!$649:$649</definedName>
    <definedName name="MO_SubSection_BS_CL">Model!$676:$676</definedName>
    <definedName name="MO_SubSection_BS_NCA">Model!$661:$661</definedName>
    <definedName name="MO_SubSection_BS_NCL">Model!$687:$687</definedName>
    <definedName name="MO_SubSection_BS_SE">Model!$697:$697</definedName>
    <definedName name="MO_SubSection_CCFS_CFF">Model!$530:$530</definedName>
    <definedName name="MO_SubSection_CCFS_CFI">Model!$517:$517</definedName>
    <definedName name="MO_SubSection_CCFS_CFO">Model!$494:$494</definedName>
    <definedName name="MO_SubSection_CFS_CFF">Model!$590:$590</definedName>
    <definedName name="MO_SubSection_CFS_CFI">Model!$577:$577</definedName>
    <definedName name="MO_SubSection_CFS_CFO">Model!$554:$554</definedName>
    <definedName name="MO_VA_EV">Model!$474:$474</definedName>
    <definedName name="MO_VA_EV_ToEBITDA">Model!$477:$477</definedName>
    <definedName name="MO_VA_EVCalc_NCI">Model!$489:$489</definedName>
    <definedName name="MO_VA_EVCalc_Other">Model!$491:$491</definedName>
    <definedName name="MO_VA_EVCalc_Prefs">Model!$490:$490</definedName>
    <definedName name="MO_VA_FCFYield_ToEV">Model!$480:$480</definedName>
    <definedName name="MO_VA_FCFYield_ToMktCap">Model!$479:$479</definedName>
    <definedName name="MO_VA_FX_Average">Model!$485:$485</definedName>
    <definedName name="MO_VA_MarketCap">Model!$473:$473</definedName>
    <definedName name="MO_VA_P_ToCF">Model!$478:$478</definedName>
    <definedName name="MO_VA_P_ToE">Model!$476:$476</definedName>
    <definedName name="MO_VA_StockPrice">Model!$472:$472</definedName>
    <definedName name="MO_VA_StockPrice_Avg">Model!$484:$484</definedName>
    <definedName name="MO_VA_StockPrice_High">Model!$482:$482</definedName>
    <definedName name="MO_VA_StockPrice_Low">Model!$483:$483</definedName>
    <definedName name="MO_VA_StockPrice_TradingCurrency">Model!$486:$486</definedName>
    <definedName name="_xlnm.Print_Area" localSheetId="1">Model!$A$1:$BG$705</definedName>
    <definedName name="_xlnm.Print_Area" localSheetId="4">'Summary Page'!$A$1:$BG$127</definedName>
    <definedName name="_xlnm.Print_Titles" localSheetId="1">Model!$5:$5</definedName>
    <definedName name="SP.ReportFX">'Summary Page'!$B$2</definedName>
    <definedName name="SP.ValuationToggle">'Summary Page'!$B$4</definedName>
    <definedName name="SP_BSR_Capital">'Summary Page'!$89:$89</definedName>
    <definedName name="SP_BSR_CashFlow">'Summary Page'!$88:$88</definedName>
    <definedName name="SP_BSR_CashFlow_LTM">'Summary Page'!$91:$91</definedName>
    <definedName name="SP_BSR_CL">'Summary Page'!$110:$110</definedName>
    <definedName name="SP_BSR_CL_Avg">'Summary Page'!$111:$111</definedName>
    <definedName name="SP_BSR_Debt">'Summary Page'!$104:$104</definedName>
    <definedName name="SP_BSR_Debt_Avg">'Summary Page'!$105:$105</definedName>
    <definedName name="SP_BSR_EBITDA">'Summary Page'!$87:$87</definedName>
    <definedName name="SP_BSR_EBITDA_LTM">'Summary Page'!$90:$90</definedName>
    <definedName name="SP_BSR_SE">'Summary Page'!$96:$96</definedName>
    <definedName name="SP_BSR_SE_Avg">'Summary Page'!$97:$97</definedName>
    <definedName name="SP_BSR_TA">'Summary Page'!$101:$101</definedName>
    <definedName name="SP_BSR_TA_Avg">'Summary Page'!$102:$102</definedName>
    <definedName name="SP_CFA_Acquisition">'Summary Page'!$72:$72</definedName>
    <definedName name="SP_CFA_Capex">'Summary Page'!$68:$68</definedName>
    <definedName name="SP_CFA_CFO_BeforeWC">'Summary Page'!$67:$67</definedName>
    <definedName name="SP_CFA_CFO_PerShare">'Summary Page'!$80:$80</definedName>
    <definedName name="SP_CFA_Debt">'Summary Page'!$76:$76</definedName>
    <definedName name="SP_CFA_Div">'Summary Page'!$70:$70</definedName>
    <definedName name="SP_CFA_Div_PerShare">'Summary Page'!$82:$82</definedName>
    <definedName name="SP_CFA_Divestiture">'Summary Page'!$73:$73</definedName>
    <definedName name="SP_CFA_Equity">'Summary Page'!$75:$75</definedName>
    <definedName name="SP_CFA_FCF_PerShare">'Summary Page'!$81:$81</definedName>
    <definedName name="SP_CFA_FCF_PostDiv">'Summary Page'!$71:$71</definedName>
    <definedName name="SP_CFA_FCF_PreDiv">'Summary Page'!$69:$69</definedName>
    <definedName name="SP_CFA_NetChange">'Summary Page'!$78:$78</definedName>
    <definedName name="SP_CFA_Other">'Summary Page'!$77:$77</definedName>
    <definedName name="SP_CFA_Payout_vsEPS">'Summary Page'!$84:$84</definedName>
    <definedName name="SP_CFA_Payout_vsFCF">'Summary Page'!$83:$83</definedName>
    <definedName name="SP_CFA_WC">'Summary Page'!$74:$74</definedName>
    <definedName name="SP_Checks_SummaryPage">'Summary Page'!$C$130:$XFD$135</definedName>
    <definedName name="SP_Common_Column_A">'Summary Page'!$A:$A</definedName>
    <definedName name="SP_Common_Column_B">'Summary Page'!$B:$B</definedName>
    <definedName name="SP_Common_ColumnHeader">'Summary Page'!$2:$2</definedName>
    <definedName name="SP_Common_QEndDate">'Summary Page'!$1:$1</definedName>
    <definedName name="SP_CS_Cash">'Summary Page'!$7:$7</definedName>
    <definedName name="SP_CS_Debt">'Summary Page'!$8:$8</definedName>
    <definedName name="SP_CS_EV">'Summary Page'!$11:$11</definedName>
    <definedName name="SP_CS_EVCalc_Other">'Summary Page'!$10:$10</definedName>
    <definedName name="SP_CS_MarketCap">'Summary Page'!$6:$6</definedName>
    <definedName name="SP_CS_OL">'Summary Page'!$9:$9</definedName>
    <definedName name="SP_CS_ShareCount">'Summary Page'!$5:$5</definedName>
    <definedName name="SP_CS_StockPrice">'Summary Page'!$4:$4</definedName>
    <definedName name="SP_GF_COGS">'Summary Page'!$35:$35</definedName>
    <definedName name="SP_GF_DisCont">'Summary Page'!$44:$44</definedName>
    <definedName name="SP_GF_Div_Prefs">'Summary Page'!$46:$46</definedName>
    <definedName name="SP_GF_EBIT">'Summary Page'!$39:$39</definedName>
    <definedName name="SP_GF_EBT">'Summary Page'!$42:$42</definedName>
    <definedName name="SP_GF_EPS_GAAP">'Summary Page'!$48:$48</definedName>
    <definedName name="SP_GF_GA">'Summary Page'!$37:$37</definedName>
    <definedName name="SP_GF_IE">'Summary Page'!$40:$40</definedName>
    <definedName name="SP_GF_IE_Net">'Summary Page'!$40:$40</definedName>
    <definedName name="SP_GF_NCI">'Summary Page'!$45:$45</definedName>
    <definedName name="SP_GF_NI">'Summary Page'!$47:$47</definedName>
    <definedName name="SP_GF_OI">'Summary Page'!$41:$41</definedName>
    <definedName name="SP_GF_RD">'Summary Page'!$38:$38</definedName>
    <definedName name="SP_GF_Rev">'Summary Page'!$34:$34</definedName>
    <definedName name="SP_GF_SM">'Summary Page'!$36:$36</definedName>
    <definedName name="SP_GF_Tax">'Summary Page'!$43:$43</definedName>
    <definedName name="SP_MA_COGS">'Summary Page'!$57:$57</definedName>
    <definedName name="SP_MA_EBIT">'Summary Page'!$61:$61</definedName>
    <definedName name="SP_MA_EBIT_Adj">'Summary Page'!$62:$62</definedName>
    <definedName name="SP_MA_EBITDA">'Summary Page'!$63:$63</definedName>
    <definedName name="SP_MA_EBITDA_Adj">'Summary Page'!$64:$64</definedName>
    <definedName name="SP_MA_GA">'Summary Page'!$59:$59</definedName>
    <definedName name="SP_MA_RD">'Summary Page'!$60:$60</definedName>
    <definedName name="SP_MA_SM">'Summary Page'!$58:$58</definedName>
    <definedName name="SP_NGF_EBIT">'Summary Page'!$52:$52</definedName>
    <definedName name="SP_NGF_EBITDA">'Summary Page'!$51:$51</definedName>
    <definedName name="SP_NGF_EPS">'Summary Page'!$54:$54</definedName>
    <definedName name="SP_NGF_NI">'Summary Page'!$53:$53</definedName>
    <definedName name="SP_PR_ROA">'Summary Page'!$103:$103</definedName>
    <definedName name="SP_PR_ROCE">'Summary Page'!$113:$113</definedName>
    <definedName name="SP_PR_ROE">'Summary Page'!$98:$98</definedName>
    <definedName name="SP_PR_ROIC">'Summary Page'!$107:$107</definedName>
    <definedName name="SP_Section_Checks">'Summary Page'!$129:$129</definedName>
    <definedName name="SP_Section_GAAPFinancials">'Summary Page'!$33:$33</definedName>
    <definedName name="SP_Section_LastRow">'Summary Page'!$137:$137</definedName>
    <definedName name="SP_Section_MarginAnalysis">'Summary Page'!$56:$56</definedName>
    <definedName name="tb_ConsensusEstimate">Model!$A$753:$BG$763</definedName>
    <definedName name="tb_EntireModel">Model!$A$1:$BG$707</definedName>
    <definedName name="tb_KeyOutputs">Model!$A$744:$A$751</definedName>
    <definedName name="tb_StockPrice">Model!$A$765:$BG$795</definedName>
    <definedName name="tb_Tickers">Model!$A$733:$A$737</definedName>
    <definedName name="tb_UpdateLog">'Update Log'!$C$10:$H$39</definedName>
    <definedName name="tb_ValuationToggle">Model!$A$739:$B$742</definedName>
    <definedName name="UL.CSIN">'Update Log'!$H$7</definedName>
    <definedName name="UL.ModelVersion">'Update Log'!$H$8</definedName>
    <definedName name="UL.MRQ">'Update Log'!$F$7</definedName>
    <definedName name="UL.MRQColNum">'Update Log'!$E$7</definedName>
    <definedName name="WS.CanalystName" localSheetId="2">"Supplemental Data"</definedName>
    <definedName name="WS.HasWorkingRange" localSheetId="2">"TRUE"</definedName>
    <definedName name="WS.WorkingRangeType" localSheetId="2">"Standard"</definedName>
    <definedName name="WS.WorksheetType" localSheetId="2">"Supplemental"</definedName>
    <definedName name="WS_ColumnHeader" localSheetId="2">'Supplemental Data'!$5:$5</definedName>
    <definedName name="WS_LastRow" localSheetId="2">'Supplemental Data'!$91:$91</definedName>
    <definedName name="WS_PeriodMetadata_FPDays" localSheetId="2">'Supplemental Data'!$3:$3</definedName>
    <definedName name="WS_PeriodMetadata_PAnnotation" localSheetId="2">'Supplemental Data'!$2:$2</definedName>
    <definedName name="WS_PeriodMetadata_PEndDate" localSheetId="2">'Supplemental Data'!$4:$4</definedName>
    <definedName name="WS_RowTitle" localSheetId="2">'Supplemental Data'!$A:$A</definedName>
    <definedName name="WS_WorkingRange_FirstColumn" localSheetId="2">'Supplemental Data'!$C:$C</definedName>
    <definedName name="WS_WorkingRange_FirstRow" localSheetId="2">'Supplemental Data'!$6:$6</definedName>
    <definedName name="WS_WorkingRange_LastColumn" localSheetId="2">'Supplemental Data'!$BG:$BG</definedName>
    <definedName name="WS_WorkingRange_LastRow" localSheetId="2">'Supplemental Data'!$91:$91</definedName>
    <definedName name="z_NVC8NN0168_MO_AN_AcquisitionofDVDcontentassets">Model!$362:$362</definedName>
    <definedName name="z_NVC8NN0168_MO_AN_adjustedebitda">Model!$359:$359</definedName>
    <definedName name="z_NVC8NN0168_MO_AN_Changeinotherassets">Model!$364:$364</definedName>
    <definedName name="z_NVC8NN0168_MO_AN_da">Model!$357:$357</definedName>
    <definedName name="z_NVC8NN0168_MO_AN_DVDcontentamortization">Model!$252:$252</definedName>
    <definedName name="z_NVC8NN0168_MO_AN_foreignexchangeimpact">Model!$370:$370</definedName>
    <definedName name="z_NVC8NN0168_MO_AN_FreeCashFlow">Model!$365:$365</definedName>
    <definedName name="z_NVC8NN0168_MO_AN_gaapnetincome">Model!$354:$354</definedName>
    <definedName name="z_NVC8NN0168_MO_AN_gaapnetincome_1">Model!$367:$367</definedName>
    <definedName name="z_NVC8NN0168_MO_AN_incometaxeffect">Model!$371:$371</definedName>
    <definedName name="z_NVC8NN0168_MO_AN_Interestandotherincomeexpense">Model!$355:$355</definedName>
    <definedName name="z_NVC8NN0168_MO_AN_Licensedcontentamortization">Model!$249:$249</definedName>
    <definedName name="z_NVC8NN0168_MO_AN_Lossonextinguishmentofdebt">Model!$368:$368</definedName>
    <definedName name="z_NVC8NN0168_MO_AN_Netcashfromoperatingactivities">Model!$361:$361</definedName>
    <definedName name="z_NVC8NN0168_MO_AN_netincome">Model!$374:$374</definedName>
    <definedName name="z_NVC8NN0168_MO_AN_nongaapnetincome">Model!$372:$372</definedName>
    <definedName name="z_NVC8NN0168_MO_AN_numeratorfordilutedearningspershare">Model!$376:$376</definedName>
    <definedName name="z_NVC8NN0168_MO_AN_Producedcontentamortization">Model!$250:$250</definedName>
    <definedName name="z_NVC8NN0168_MO_AN_provisionbenefitforincometaxes">Model!$356:$356</definedName>
    <definedName name="z_NVC8NN0168_MO_AN_Purchasesofpropertyandequipment">Model!$363:$363</definedName>
    <definedName name="z_NVC8NN0168_MO_AN_releaseoftaxaccrual">Model!$369:$369</definedName>
    <definedName name="z_NVC8NN0168_MO_AN_sbc">Model!$358:$358</definedName>
    <definedName name="z_NVC8NN0168_MO_AN_seniorconvertiblenotesinterestexpense">Model!$375:$375</definedName>
    <definedName name="z_NVC8NN0168_MO_AN_StreamingContentamortization">Model!$251:$251</definedName>
    <definedName name="z_NVC8NN0168_MO_AN_Totalamortization">Model!$253:$253</definedName>
    <definedName name="z_NVC8NN0168_MO_BlankRow_AN">Model!$360:$360</definedName>
    <definedName name="z_NVC8NN0168_MO_BlankRow_AN_1">Model!$373:$373</definedName>
    <definedName name="z_NVC8NN0168_MO_BlankRow_AN_2">Model!$377:$377</definedName>
    <definedName name="z_NVC8NN0168_MO_BlankRow_AN_3">"Deleted"</definedName>
    <definedName name="z_NVC8NN0168_MO_BlankRow_AN_4">"Deleted"</definedName>
    <definedName name="z_NVC8NN0168_MO_BlankRow_AN_5">Model!$366:$366</definedName>
    <definedName name="z_NVC8NN0168_MO_BlankRow_BS_1">Model!$660:$660</definedName>
    <definedName name="z_NVC8NN0168_MO_BlankRow_BS_2">Model!$675:$675</definedName>
    <definedName name="z_NVC8NN0168_MO_BlankRow_BS_3">Model!$686:$686</definedName>
    <definedName name="z_NVC8NN0168_MO_BlankRow_BS_4">Model!$696:$696</definedName>
    <definedName name="z_NVC8NN0168_MO_BlankRow_BS_5">Model!$706:$706</definedName>
    <definedName name="z_NVC8NN0168_MO_BlankRow_BS_6">Model!$708:$708</definedName>
    <definedName name="z_NVC8NN0168_MO_BlankRow_BSS">Model!$470:$470</definedName>
    <definedName name="z_NVC8NN0168_MO_BlankRow_BSS_1">Model!$459:$459</definedName>
    <definedName name="z_NVC8NN0168_MO_BlankRow_BSS_2">Model!$466:$466</definedName>
    <definedName name="z_NVC8NN0168_MO_BlankRow_CCFS">Model!$516:$516</definedName>
    <definedName name="z_NVC8NN0168_MO_BlankRow_CCFS_1">Model!$529:$529</definedName>
    <definedName name="z_NVC8NN0168_MO_BlankRow_CCFS_2">Model!$546:$546</definedName>
    <definedName name="z_NVC8NN0168_MO_BlankRow_CCFS_3">Model!$549:$549</definedName>
    <definedName name="z_NVC8NN0168_MO_BlankRow_CCFS_4">Model!$552:$552</definedName>
    <definedName name="z_NVC8NN0168_MO_BlankRow_CFS_2">Model!$576:$576</definedName>
    <definedName name="z_NVC8NN0168_MO_BlankRow_CFS_3">Model!$589:$589</definedName>
    <definedName name="z_NVC8NN0168_MO_BlankRow_CFS_4">Model!$606:$606</definedName>
    <definedName name="z_NVC8NN0168_MO_BlankRow_CFS_5">Model!$609:$609</definedName>
    <definedName name="z_NVC8NN0168_MO_BlankRow_CFS_6">Model!$612:$612</definedName>
    <definedName name="z_NVC8NN0168_MO_BlankRow_CFS_7">Model!$614:$614</definedName>
    <definedName name="z_NVC8NN0168_MO_BlankRow_CFSum">Model!$443:$443</definedName>
    <definedName name="z_NVC8NN0168_MO_BlankRow_CFSum_1">Model!$451:$451</definedName>
    <definedName name="z_NVC8NN0168_MO_BlankRow_CFSum_2">Model!$439:$439</definedName>
    <definedName name="z_NVC8NN0168_MO_BlankRow_CFSum_3">Model!$446:$446</definedName>
    <definedName name="z_NVC8NN0168_MO_BlankRow_DAF">Model!$632:$632</definedName>
    <definedName name="z_NVC8NN0168_MO_BlankRow_DAF_1">Model!$638:$638</definedName>
    <definedName name="z_NVC8NN0168_MO_BlankRow_DAF_2">Model!$643:$643</definedName>
    <definedName name="z_NVC8NN0168_MO_BlankRow_DAF_3">Model!$647:$647</definedName>
    <definedName name="z_NVC8NN0168_MO_BlankRow_GA">"Deleted"</definedName>
    <definedName name="z_NVC8NN0168_MO_BlankRow_GA_1">"Deleted"</definedName>
    <definedName name="z_NVC8NN0168_MO_BlankRow_GA_10">"Deleted"</definedName>
    <definedName name="z_NVC8NN0168_MO_BlankRow_GA_11">"Deleted"</definedName>
    <definedName name="z_NVC8NN0168_MO_BlankRow_GA_12">"Deleted"</definedName>
    <definedName name="z_NVC8NN0168_MO_BlankRow_GA_13">"Deleted"</definedName>
    <definedName name="z_NVC8NN0168_MO_BlankRow_GA_14">"Deleted"</definedName>
    <definedName name="z_NVC8NN0168_MO_BlankRow_GA_15">"Deleted"</definedName>
    <definedName name="z_NVC8NN0168_MO_BlankRow_GA_16">Model!$6:$6</definedName>
    <definedName name="z_NVC8NN0168_MO_BlankRow_GA_2">"Deleted"</definedName>
    <definedName name="z_NVC8NN0168_MO_BlankRow_GA_3">"Deleted"</definedName>
    <definedName name="z_NVC8NN0168_MO_BlankRow_GA_4">"Deleted"</definedName>
    <definedName name="z_NVC8NN0168_MO_BlankRow_GA_5">"Deleted"</definedName>
    <definedName name="z_NVC8NN0168_MO_BlankRow_GA_6">"Deleted"</definedName>
    <definedName name="z_NVC8NN0168_MO_BlankRow_GA_7">Model!$36:$36</definedName>
    <definedName name="z_NVC8NN0168_MO_BlankRow_GA_8">"Deleted"</definedName>
    <definedName name="z_NVC8NN0168_MO_BlankRow_GA_9">"Deleted"</definedName>
    <definedName name="z_NVC8NN0168_MO_BlankRow_IS">Model!$350:$350</definedName>
    <definedName name="z_NVC8NN0168_MO_BlankRow_IS_1">Model!$352:$352</definedName>
    <definedName name="z_NVC8NN0168_MO_BlankRow_MA">Model!$316:$316</definedName>
    <definedName name="z_NVC8NN0168_MO_BlankRow_MA_2">Model!$475:$475</definedName>
    <definedName name="z_NVC8NN0168_MO_BlankRow_MA_3">Model!$487:$487</definedName>
    <definedName name="z_NVC8NN0168_MO_BlankRow_MA_4">Model!$492:$492</definedName>
    <definedName name="z_NVC8NN0168_MO_BlankRow_MA_5">Model!$481:$481</definedName>
    <definedName name="z_NVC8NN0168_MO_BlankRow_MA_6">Model!$326:$326</definedName>
    <definedName name="z_NVC8NN0168_MO_BlankRow_MA_7">Model!$332:$332</definedName>
    <definedName name="z_NVC8NN0168_MO_BlankRow_OS">"Deleted"</definedName>
    <definedName name="z_NVC8NN0168_MO_BlankRow_OS_1">'Supplemental Data'!$60:$60</definedName>
    <definedName name="z_NVC8NN0168_MO_BlankRow_OS_10">Model!$246:$246</definedName>
    <definedName name="z_NVC8NN0168_MO_BlankRow_OS_100">'Supplemental Data'!$24:$24</definedName>
    <definedName name="z_NVC8NN0168_MO_BlankRow_OS_11">Model!$254:$254</definedName>
    <definedName name="z_NVC8NN0168_MO_BlankRow_OS_12">Model!$620:$620</definedName>
    <definedName name="z_NVC8NN0168_MO_BlankRow_OS_13">Model!$625:$625</definedName>
    <definedName name="z_NVC8NN0168_MO_BlankRow_OS_16">Model!$302:$302</definedName>
    <definedName name="z_NVC8NN0168_MO_BlankRow_OS_17">Model!$308:$308</definedName>
    <definedName name="z_NVC8NN0168_MO_BlankRow_OS_18">"Deleted"</definedName>
    <definedName name="z_NVC8NN0168_MO_BlankRow_OS_19">"Deleted"</definedName>
    <definedName name="z_NVC8NN0168_MO_BlankRow_OS_2">'Supplemental Data'!$65:$65</definedName>
    <definedName name="z_NVC8NN0168_MO_BlankRow_OS_20">"Deleted"</definedName>
    <definedName name="z_NVC8NN0168_MO_BlankRow_OS_21">"Deleted"</definedName>
    <definedName name="z_NVC8NN0168_MO_BlankRow_OS_22">"Deleted"</definedName>
    <definedName name="z_NVC8NN0168_MO_BlankRow_OS_23">"Deleted"</definedName>
    <definedName name="z_NVC8NN0168_MO_BlankRow_OS_26">"Deleted"</definedName>
    <definedName name="z_NVC8NN0168_MO_BlankRow_OS_27">"Deleted"</definedName>
    <definedName name="z_NVC8NN0168_MO_BlankRow_OS_28">"Deleted"</definedName>
    <definedName name="z_NVC8NN0168_MO_BlankRow_OS_29">Model!$167:$167</definedName>
    <definedName name="z_NVC8NN0168_MO_BlankRow_OS_3">'Supplemental Data'!$76:$76</definedName>
    <definedName name="z_NVC8NN0168_MO_BlankRow_OS_30">Model!$182:$182</definedName>
    <definedName name="z_NVC8NN0168_MO_BlankRow_OS_31">"Deleted"</definedName>
    <definedName name="z_NVC8NN0168_MO_BlankRow_OS_34">"Deleted"</definedName>
    <definedName name="z_NVC8NN0168_MO_BlankRow_OS_35">"Deleted"</definedName>
    <definedName name="z_NVC8NN0168_MO_BlankRow_OS_36">"Deleted"</definedName>
    <definedName name="z_NVC8NN0168_MO_BlankRow_OS_37">Model!$204:$204</definedName>
    <definedName name="z_NVC8NN0168_MO_BlankRow_OS_38">"Deleted"</definedName>
    <definedName name="z_NVC8NN0168_MO_BlankRow_OS_39">Model!$277:$277</definedName>
    <definedName name="z_NVC8NN0168_MO_BlankRow_OS_4">"Deleted"</definedName>
    <definedName name="z_NVC8NN0168_MO_BlankRow_OS_40">Model!$283:$283</definedName>
    <definedName name="z_NVC8NN0168_MO_BlankRow_OS_41">Model!$289:$289</definedName>
    <definedName name="z_NVC8NN0168_MO_BlankRow_OS_42">Model!$295:$295</definedName>
    <definedName name="z_NVC8NN0168_MO_BlankRow_OS_43">"Deleted"</definedName>
    <definedName name="z_NVC8NN0168_MO_BlankRow_OS_44">'Supplemental Data'!$11:$11</definedName>
    <definedName name="z_NVC8NN0168_MO_BlankRow_OS_46">"Deleted"</definedName>
    <definedName name="z_NVC8NN0168_MO_BlankRow_OS_47">Model!$15:$15</definedName>
    <definedName name="z_NVC8NN0168_MO_BlankRow_OS_48">Model!$20:$20</definedName>
    <definedName name="z_NVC8NN0168_MO_BlankRow_OS_49">Model!$33:$33</definedName>
    <definedName name="z_NVC8NN0168_MO_BlankRow_OS_50">Model!$37:$37</definedName>
    <definedName name="z_NVC8NN0168_MO_BlankRow_OS_55">Model!$57:$57</definedName>
    <definedName name="z_NVC8NN0168_MO_BlankRow_OS_56">Model!$66:$66</definedName>
    <definedName name="z_NVC8NN0168_MO_BlankRow_OS_57">Model!$74:$74</definedName>
    <definedName name="z_NVC8NN0168_MO_BlankRow_OS_6">"Deleted"</definedName>
    <definedName name="z_NVC8NN0168_MO_BlankRow_OS_60">Model!$85:$85</definedName>
    <definedName name="z_NVC8NN0168_MO_BlankRow_OS_61">Model!$90:$90</definedName>
    <definedName name="z_NVC8NN0168_MO_BlankRow_OS_62">Model!$94:$94</definedName>
    <definedName name="z_NVC8NN0168_MO_BlankRow_OS_65">Model!$105:$105</definedName>
    <definedName name="z_NVC8NN0168_MO_BlankRow_OS_66">Model!$110:$110</definedName>
    <definedName name="z_NVC8NN0168_MO_BlankRow_OS_67">Model!$114:$114</definedName>
    <definedName name="z_NVC8NN0168_MO_BlankRow_OS_7">'Supplemental Data'!$39:$39</definedName>
    <definedName name="z_NVC8NN0168_MO_BlankRow_OS_70">Model!$125:$125</definedName>
    <definedName name="z_NVC8NN0168_MO_BlankRow_OS_71">Model!$130:$130</definedName>
    <definedName name="z_NVC8NN0168_MO_BlankRow_OS_72">Model!$134:$134</definedName>
    <definedName name="z_NVC8NN0168_MO_BlankRow_OS_73">Model!$139:$139</definedName>
    <definedName name="z_NVC8NN0168_MO_BlankRow_OS_74">Model!$158:$158</definedName>
    <definedName name="z_NVC8NN0168_MO_BlankRow_OS_75">Model!$207:$207</definedName>
    <definedName name="z_NVC8NN0168_MO_BlankRow_OS_76">Model!$213:$213</definedName>
    <definedName name="z_NVC8NN0168_MO_BlankRow_OS_77">Model!$219:$219</definedName>
    <definedName name="z_NVC8NN0168_MO_BlankRow_OS_78">Model!$224:$224</definedName>
    <definedName name="z_NVC8NN0168_MO_BlankRow_OS_79">Model!$229:$229</definedName>
    <definedName name="z_NVC8NN0168_MO_BlankRow_OS_8">'Supplemental Data'!$44:$44</definedName>
    <definedName name="z_NVC8NN0168_MO_BlankRow_OS_80">Model!$234:$234</definedName>
    <definedName name="z_NVC8NN0168_MO_BlankRow_OS_81">Model!$27:$27</definedName>
    <definedName name="z_NVC8NN0168_MO_BlankRow_OS_82">Model!$53:$53</definedName>
    <definedName name="z_NVC8NN0168_MO_BlankRow_OS_83">Model!$239:$239</definedName>
    <definedName name="z_NVC8NN0168_MO_BlankRow_OS_84">Model!$81:$81</definedName>
    <definedName name="z_NVC8NN0168_MO_BlankRow_OS_85">'Supplemental Data'!$33:$33</definedName>
    <definedName name="z_NVC8NN0168_MO_BlankRow_OS_86">'Supplemental Data'!$54:$54</definedName>
    <definedName name="z_NVC8NN0168_MO_BlankRow_OS_87">'Supplemental Data'!$68:$68</definedName>
    <definedName name="z_NVC8NN0168_MO_BlankRow_OS_88">'Supplemental Data'!$73:$73</definedName>
    <definedName name="z_NVC8NN0168_MO_BlankRow_OS_89">'Supplemental Data'!$81:$81</definedName>
    <definedName name="z_NVC8NN0168_MO_BlankRow_OS_90">'Supplemental Data'!$90:$90</definedName>
    <definedName name="z_NVC8NN0168_MO_BlankRow_OS_91">Model!$267:$267</definedName>
    <definedName name="z_NVC8NN0168_MO_BlankRow_OS_92">Model!$101:$101</definedName>
    <definedName name="z_NVC8NN0168_MO_BlankRow_OS_93">Model!$121:$121</definedName>
    <definedName name="z_NVC8NN0168_MO_BlankRow_OS_94">Model!$149:$149</definedName>
    <definedName name="z_NVC8NN0168_MO_BlankRow_OS_95">Model!$166:$166</definedName>
    <definedName name="z_NVC8NN0168_MO_BlankRow_OS_96">Model!$174:$174</definedName>
    <definedName name="z_NVC8NN0168_MO_BlankRow_OS_97">Model!$193:$193</definedName>
    <definedName name="z_NVC8NN0168_MO_BlankRow_OS_98">Model!$248:$248</definedName>
    <definedName name="z_NVC8NN0168_MO_BlankRow_OS_99">'Supplemental Data'!$17:$17</definedName>
    <definedName name="z_NVC8NN0168_MO_BlankRow_RIS">Model!$381:$381</definedName>
    <definedName name="z_NVC8NN0168_MO_BlankRow_RIS_1">Model!$384:$384</definedName>
    <definedName name="z_NVC8NN0168_MO_BlankRow_RIS_2">Model!$397:$397</definedName>
    <definedName name="z_NVC8NN0168_MO_BlankRow_RIS_3">Model!$391:$391</definedName>
    <definedName name="z_NVC8NN0168_MO_BlankRow_RIS_4">Model!$403:$403</definedName>
    <definedName name="z_NVC8NN0168_MO_BlankRow_RIS_5">Model!$416:$416</definedName>
    <definedName name="z_NVC8NN0168_MO_BlankRow_RIS_6">Model!$419:$419</definedName>
    <definedName name="z_NVC8NN0168_MO_BlankRow_RIS_7">Model!$424:$424</definedName>
    <definedName name="z_NVC8NN0168_MO_BlankRow_RIS_8">Model!$428:$428</definedName>
    <definedName name="z_NVC8NN0168_MO_BlankRow_SNA">Model!$730:$730</definedName>
    <definedName name="z_NVC8NN0168_MO_BlankRow_SNA_1">Model!$732:$732</definedName>
    <definedName name="z_NVC8NN0168_MO_BlankRow_SNA_10">Model!$788:$788</definedName>
    <definedName name="z_NVC8NN0168_MO_BlankRow_SNA_11">Model!$795:$795</definedName>
    <definedName name="z_NVC8NN0168_MO_BlankRow_SNA_12">Model!$796:$796</definedName>
    <definedName name="z_NVC8NN0168_MO_BlankRow_SNA_13">Model!$812:$812</definedName>
    <definedName name="z_NVC8NN0168_MO_BlankRow_SNA_2">Model!$738:$738</definedName>
    <definedName name="z_NVC8NN0168_MO_BlankRow_SNA_3">Model!$743:$743</definedName>
    <definedName name="z_NVC8NN0168_MO_BlankRow_SNA_4">Model!$751:$751</definedName>
    <definedName name="z_NVC8NN0168_MO_BlankRow_SNA_5">Model!$752:$752</definedName>
    <definedName name="z_NVC8NN0168_MO_BlankRow_SNA_6">Model!$763:$763</definedName>
    <definedName name="z_NVC8NN0168_MO_BlankRow_SNA_7">Model!$764:$764</definedName>
    <definedName name="z_NVC8NN0168_MO_BlankRow_SNA_8">Model!$774:$774</definedName>
    <definedName name="z_NVC8NN0168_MO_BlankRow_SNA_9">Model!$781:$781</definedName>
    <definedName name="z_NVC8NN0168_MO_BS_Accountspayable">Model!$678:$678</definedName>
    <definedName name="z_NVC8NN0168_MO_BS_accruedexpenses">Model!$681:$681</definedName>
    <definedName name="z_NVC8NN0168_MO_BS_Accruedexpensesexcludingoperatingleaseliabilities">Model!$680:$680</definedName>
    <definedName name="z_NVC8NN0168_MO_BS_Accumulatedothercomprehensiveloss">Model!$701:$701</definedName>
    <definedName name="z_NVC8NN0168_MO_BS_additionalpaidincapital">Model!$700:$700</definedName>
    <definedName name="z_NVC8NN0168_MO_BS_BSCheck">Model!$707:$707</definedName>
    <definedName name="z_NVC8NN0168_MO_BS_cashandcashequivalents">Model!$650:$650</definedName>
    <definedName name="z_NVC8NN0168_MO_BS_commonstock">Model!$698:$698</definedName>
    <definedName name="z_NVC8NN0168_MO_BS_CurrentAssets">Model!$649:$649</definedName>
    <definedName name="z_NVC8NN0168_MO_BS_currentcontentliabilities">Model!$677:$677</definedName>
    <definedName name="z_NVC8NN0168_MO_BS_Currentcontentlibrary">Model!$654:$654</definedName>
    <definedName name="z_NVC8NN0168_MO_BS_CurrentLiabilities">Model!$676:$676</definedName>
    <definedName name="z_NVC8NN0168_MO_BS_Currentoperatingleaseliabilities">Model!$679:$679</definedName>
    <definedName name="z_NVC8NN0168_MO_BS_currentportionofleasefinancingobligations">Model!$682:$682</definedName>
    <definedName name="z_NVC8NN0168_MO_BS_deferredrevenue">Model!$684:$684</definedName>
    <definedName name="z_NVC8NN0168_MO_BS_deferredtaxassets">Model!$655:$655</definedName>
    <definedName name="z_NVC8NN0168_MO_BS_deferredtaxassets_1">Model!$670:$670</definedName>
    <definedName name="z_NVC8NN0168_MO_BS_DVD">Model!$667:$667</definedName>
    <definedName name="z_NVC8NN0168_MO_BS_Indevelopmentandproduction">Model!$665:$665</definedName>
    <definedName name="z_NVC8NN0168_MO_BS_Inproduction">Model!$664:$664</definedName>
    <definedName name="z_NVC8NN0168_MO_BS_Licensedcontent">Model!$662:$662</definedName>
    <definedName name="z_NVC8NN0168_MO_BS_Longtermdebt">Model!$689:$689</definedName>
    <definedName name="z_NVC8NN0168_MO_BS_Longtermdebtduetorelatedparty">Model!$690:$690</definedName>
    <definedName name="z_NVC8NN0168_MO_BS_NCI">Model!$704:$704</definedName>
    <definedName name="z_NVC8NN0168_MO_BS_NonCurrentAssets">Model!$661:$661</definedName>
    <definedName name="z_NVC8NN0168_MO_BS_noncurrentcontentliabilities">Model!$688:$688</definedName>
    <definedName name="z_NVC8NN0168_MO_BS_noncurrentcontentlibrary">Model!$668:$668</definedName>
    <definedName name="z_NVC8NN0168_MO_BS_NonCurrentLiabilities">Model!$687:$687</definedName>
    <definedName name="z_NVC8NN0168_MO_BS_NonCurrentoperatingleaseliabilities">Model!$691:$691</definedName>
    <definedName name="z_NVC8NN0168_MO_BS_Othercurrentassets">Model!$658:$658</definedName>
    <definedName name="z_NVC8NN0168_MO_BS_Othernoncurrentassets">Model!$672:$672</definedName>
    <definedName name="z_NVC8NN0168_MO_BS_Othernoncurrentliabilities">Model!$693:$693</definedName>
    <definedName name="z_NVC8NN0168_MO_BS_Othernoncurrentliabilitiesexcludingnoncurrentoperatingleaseliabilities">Model!$692:$692</definedName>
    <definedName name="z_NVC8NN0168_MO_BS_prepaidcontent">Model!$656:$656</definedName>
    <definedName name="z_NVC8NN0168_MO_BS_prepaidexpenses">Model!$652:$652</definedName>
    <definedName name="z_NVC8NN0168_MO_BS_prepaidrevenuesharingexpenses">Model!$653:$653</definedName>
    <definedName name="z_NVC8NN0168_MO_BS_Producedcontent">Model!$666:$666</definedName>
    <definedName name="z_NVC8NN0168_MO_BS_Propertyandequipment">Model!$669:$669</definedName>
    <definedName name="z_NVC8NN0168_MO_BS_Released">Model!$663:$663</definedName>
    <definedName name="z_NVC8NN0168_MO_BS_RestrictedCash">Model!$671:$671</definedName>
    <definedName name="z_NVC8NN0168_MO_BS_RestrictedcashinOthercurrentassets">Model!$657:$657</definedName>
    <definedName name="z_NVC8NN0168_MO_BS_retainedearnings">Model!$702:$702</definedName>
    <definedName name="z_NVC8NN0168_MO_BS_ShareholdersEquity">Model!$697:$697</definedName>
    <definedName name="z_NVC8NN0168_MO_BS_Shorttermdebt">Model!$683:$683</definedName>
    <definedName name="z_NVC8NN0168_MO_BS_shortterminvestments">Model!$651:$651</definedName>
    <definedName name="z_NVC8NN0168_MO_BS_TotalAssets">Model!$674:$674</definedName>
    <definedName name="z_NVC8NN0168_MO_BS_TotalCurrentAssets">Model!$659:$659</definedName>
    <definedName name="z_NVC8NN0168_MO_BS_TotalCurrentLiabilities">Model!$685:$685</definedName>
    <definedName name="z_NVC8NN0168_MO_BS_TotalLiabilities">Model!$695:$695</definedName>
    <definedName name="z_NVC8NN0168_MO_BS_TotalLiabilitiesSE">Model!$705:$705</definedName>
    <definedName name="z_NVC8NN0168_MO_BS_TotalNonCurrentAssets">Model!$673:$673</definedName>
    <definedName name="z_NVC8NN0168_MO_BS_TotalNonCurrentliabilities">Model!$694:$694</definedName>
    <definedName name="z_NVC8NN0168_MO_BS_TotalSE">Model!$703:$703</definedName>
    <definedName name="z_NVC8NN0168_MO_BS_Treasurystock">Model!$699:$699</definedName>
    <definedName name="z_NVC8NN0168_MO_BSS_Cash">Model!$453:$453</definedName>
    <definedName name="z_NVC8NN0168_MO_BSS_Debt">Model!$456:$456</definedName>
    <definedName name="z_NVC8NN0168_MO_BSS_DebtCashFlow">Model!$469:$469</definedName>
    <definedName name="z_NVC8NN0168_MO_BSS_DebtEBITDA">Model!$468:$468</definedName>
    <definedName name="z_NVC8NN0168_MO_BSS_EBITDANetInterestExpense">Model!$467:$467</definedName>
    <definedName name="z_NVC8NN0168_MO_BSS_EffectiveInterestRateonCash">Model!$463:$463</definedName>
    <definedName name="z_NVC8NN0168_MO_BSS_EffectiveInterestRateonDebt">Model!$461:$461</definedName>
    <definedName name="z_NVC8NN0168_MO_BSS_EffectiveNetInterestRateonDebt">Model!$465:$465</definedName>
    <definedName name="z_NVC8NN0168_MO_BSS_InterestExpense">Model!$460:$460</definedName>
    <definedName name="z_NVC8NN0168_MO_BSS_InterestIncome">Model!$462:$462</definedName>
    <definedName name="z_NVC8NN0168_MO_BSS_LTDebt">Model!$455:$455</definedName>
    <definedName name="z_NVC8NN0168_MO_BSS_NetDebt">Model!$458:$458</definedName>
    <definedName name="z_NVC8NN0168_MO_BSS_NetInterestExpenseIncome">Model!$464:$464</definedName>
    <definedName name="z_NVC8NN0168_MO_BSS_OperatingLeaseLiabilities">Model!$457:$457</definedName>
    <definedName name="z_NVC8NN0168_MO_BSS_STDebt">Model!$454:$454</definedName>
    <definedName name="z_NVC8NN0168_MO_CCFS_accountspayable">Model!$511:$511</definedName>
    <definedName name="z_NVC8NN0168_MO_CCFS_accruedexpenses">Model!$512:$512</definedName>
    <definedName name="z_NVC8NN0168_MO_CCFS_AcquisitionofDVDcontentlibrary">Model!$518:$518</definedName>
    <definedName name="z_NVC8NN0168_MO_CCFS_Acquisitionsofintangibleassets">Model!$521:$521</definedName>
    <definedName name="z_NVC8NN0168_MO_CCFS_additionstostreamingcontentlibrary">Model!$496:$496</definedName>
    <definedName name="z_NVC8NN0168_MO_CCFS_amortizationofdvdcontentlibrary">Model!$499:$499</definedName>
    <definedName name="z_NVC8NN0168_MO_CCFS_amortizationofstreamingcontentlibrary">Model!$498:$498</definedName>
    <definedName name="z_NVC8NN0168_MO_CCFS_BeginningCashBalance">Model!$550:$550</definedName>
    <definedName name="z_NVC8NN0168_MO_CCFS_borrowingsonlineofcredit">Model!$538:$538</definedName>
    <definedName name="z_NVC8NN0168_MO_CCFS_Cashpaidinbusinessacquisition">Model!$524:$524</definedName>
    <definedName name="z_NVC8NN0168_MO_CCFS_CFF">Model!$530:$530</definedName>
    <definedName name="z_NVC8NN0168_MO_CCFS_CFI">Model!$517:$517</definedName>
    <definedName name="z_NVC8NN0168_MO_CCFS_CFO">Model!$494:$494</definedName>
    <definedName name="z_NVC8NN0168_MO_CCFS_CFObeforeWC">Model!$508:$508</definedName>
    <definedName name="z_NVC8NN0168_MO_CCFS_changeinstreamingcontentliabilities">Model!$497:$497</definedName>
    <definedName name="z_NVC8NN0168_MO_CCFS_Debtissuancecosts">Model!$535:$535</definedName>
    <definedName name="z_NVC8NN0168_MO_CCFS_deferredrevenue">Model!$513:$513</definedName>
    <definedName name="z_NVC8NN0168_MO_CCFS_deferredtaxes">Model!$506:$506</definedName>
    <definedName name="z_NVC8NN0168_MO_CCFS_depreciationandamortizationofproperty">Model!$500:$500</definedName>
    <definedName name="z_NVC8NN0168_MO_CCFS_Dividendpaidtocommonshareholders">Model!$542:$542</definedName>
    <definedName name="z_NVC8NN0168_MO_CCFS_EndingCashBalance">Model!$551:$551</definedName>
    <definedName name="z_NVC8NN0168_MO_CCFS_excesstaxbenefitsfromstockbasedcompensation">Model!$502:$502</definedName>
    <definedName name="z_NVC8NN0168_MO_CCFS_excesstaxbenefitsfromstockbasedcompensation_1">Model!$537:$537</definedName>
    <definedName name="z_NVC8NN0168_MO_CCFS_Foreigncurrencyremeasurementlossonlongtermdebt">Model!$505:$505</definedName>
    <definedName name="z_NVC8NN0168_MO_CCFS_FX">Model!$547:$547</definedName>
    <definedName name="z_NVC8NN0168_MO_CCFS_gainonsaleofbusiness">Model!$507:$507</definedName>
    <definedName name="z_NVC8NN0168_MO_CCFS_issuancecosts">Model!$534:$534</definedName>
    <definedName name="z_NVC8NN0168_MO_CCFS_Lossonextinguishmentofdebt">Model!$504:$504</definedName>
    <definedName name="z_NVC8NN0168_MO_CCFS_NetCFF">Model!$545:$545</definedName>
    <definedName name="z_NVC8NN0168_MO_CCFS_NetCFI">Model!$528:$528</definedName>
    <definedName name="z_NVC8NN0168_MO_CCFS_NetCFO">Model!$515:$515</definedName>
    <definedName name="z_NVC8NN0168_MO_CCFS_NetChangeinCashBalance">Model!$548:$548</definedName>
    <definedName name="z_NVC8NN0168_MO_CCFS_netincome">Model!$495:$495</definedName>
    <definedName name="z_NVC8NN0168_MO_CCFS_Otherassets">Model!$523:$523</definedName>
    <definedName name="z_NVC8NN0168_MO_CCFS_Othercurrentassets">Model!$510:$510</definedName>
    <definedName name="z_NVC8NN0168_MO_CCFS_Otherfinancingactivities">Model!$544:$544</definedName>
    <definedName name="z_NVC8NN0168_MO_CCFS_Othernoncashitems">Model!$503:$503</definedName>
    <definedName name="z_NVC8NN0168_MO_CCFS_Othernoncurrentassetsandliabilities">Model!$514:$514</definedName>
    <definedName name="z_NVC8NN0168_MO_CCFS_paymentsonlineofcredit">Model!$539:$539</definedName>
    <definedName name="z_NVC8NN0168_MO_CCFS_prepaidcontent">Model!$509:$509</definedName>
    <definedName name="z_NVC8NN0168_MO_CCFS_principalpaymentsofleasefinancingobligations">Model!$543:$543</definedName>
    <definedName name="z_NVC8NN0168_MO_CCFS_proceedsfromissuanceofcommonstock">Model!$531:$531</definedName>
    <definedName name="z_NVC8NN0168_MO_CCFS_proceedsfromissuanceofcommonstockuponexerciseofoptions">Model!$541:$541</definedName>
    <definedName name="z_NVC8NN0168_MO_CCFS_Proceedsfromissuanceofdebt">Model!$533:$533</definedName>
    <definedName name="z_NVC8NN0168_MO_CCFS_proceedsfrommaturitiesofshortterminvestments">Model!$527:$527</definedName>
    <definedName name="z_NVC8NN0168_MO_CCFS_proceedsfrompublicofferingofcommonstock">Model!$532:$532</definedName>
    <definedName name="z_NVC8NN0168_MO_CCFS_proceedsfromsaleofbusiness">Model!$522:$522</definedName>
    <definedName name="z_NVC8NN0168_MO_CCFS_proceedsfromsaleofdvds">Model!$520:$520</definedName>
    <definedName name="z_NVC8NN0168_MO_CCFS_proceedsfromsaleofshortterminvestments">Model!$526:$526</definedName>
    <definedName name="z_NVC8NN0168_MO_CCFS_purchasesofpropertyandequipment">Model!$519:$519</definedName>
    <definedName name="z_NVC8NN0168_MO_CCFS_purchasesofshortterminvestments">Model!$525:$525</definedName>
    <definedName name="z_NVC8NN0168_MO_CCFS_Redemptionofdebt">Model!$536:$536</definedName>
    <definedName name="z_NVC8NN0168_MO_CCFS_Repurchasesofcommonstock">Model!$540:$540</definedName>
    <definedName name="z_NVC8NN0168_MO_CCFS_stockbasedcompensationexpense">Model!$501:$501</definedName>
    <definedName name="z_NVC8NN0168_MO_CFS_accountspayable">Model!$571:$571</definedName>
    <definedName name="z_NVC8NN0168_MO_CFS_accruedexpenses">Model!$572:$572</definedName>
    <definedName name="z_NVC8NN0168_MO_CFS_AcquisitionofDVDcontentlibrary">Model!$578:$578</definedName>
    <definedName name="z_NVC8NN0168_MO_CFS_Acquisitionsofintangibleassets">Model!$581:$581</definedName>
    <definedName name="z_NVC8NN0168_MO_CFS_additionstostreamingcontentlibrary">Model!$556:$556</definedName>
    <definedName name="z_NVC8NN0168_MO_CFS_amortizationofdvdcontentlibrary">Model!$559:$559</definedName>
    <definedName name="z_NVC8NN0168_MO_CFS_amortizationofstreamingcontentlibrary">Model!$558:$558</definedName>
    <definedName name="z_NVC8NN0168_MO_CFS_BeginningCashBalance">Model!$610:$610</definedName>
    <definedName name="z_NVC8NN0168_MO_CFS_borrowingsonlineofcredit">Model!$598:$598</definedName>
    <definedName name="z_NVC8NN0168_MO_CFS_Cashpaidinbusinessacquisition">Model!$584:$584</definedName>
    <definedName name="z_NVC8NN0168_MO_CFS_CFCheck">Model!$613:$613</definedName>
    <definedName name="z_NVC8NN0168_MO_CFS_CFF">Model!$590:$590</definedName>
    <definedName name="z_NVC8NN0168_MO_CFS_CFI">Model!$577:$577</definedName>
    <definedName name="z_NVC8NN0168_MO_CFS_CFO">Model!$554:$554</definedName>
    <definedName name="z_NVC8NN0168_MO_CFS_CFObeforeWC">Model!$568:$568</definedName>
    <definedName name="z_NVC8NN0168_MO_CFS_changeinstreamingcontentliabilities">Model!$557:$557</definedName>
    <definedName name="z_NVC8NN0168_MO_CFS_Debtissuancecosts">Model!$595:$595</definedName>
    <definedName name="z_NVC8NN0168_MO_CFS_deferredrevenue">Model!$573:$573</definedName>
    <definedName name="z_NVC8NN0168_MO_CFS_deferredtaxes">Model!$566:$566</definedName>
    <definedName name="z_NVC8NN0168_MO_CFS_depreciationandamortizationofproperty">Model!$560:$560</definedName>
    <definedName name="z_NVC8NN0168_MO_CFS_Dividendpaidtocommonshareholders">Model!$602:$602</definedName>
    <definedName name="z_NVC8NN0168_MO_CFS_EndingCashBalance">Model!$611:$611</definedName>
    <definedName name="z_NVC8NN0168_MO_CFS_excesstaxbenefitsfromstockbasedcompensation">Model!$562:$562</definedName>
    <definedName name="z_NVC8NN0168_MO_CFS_excesstaxbenefitsfromstockbasedcompensation_1">Model!$597:$597</definedName>
    <definedName name="z_NVC8NN0168_MO_CFS_Foreigncurrencyremeasurementlossonlongtermdebt">Model!$565:$565</definedName>
    <definedName name="z_NVC8NN0168_MO_CFS_FX">Model!$607:$607</definedName>
    <definedName name="z_NVC8NN0168_MO_CFS_gainonsaleofbusiness">Model!$567:$567</definedName>
    <definedName name="z_NVC8NN0168_MO_CFS_issuancecosts">Model!$594:$594</definedName>
    <definedName name="z_NVC8NN0168_MO_CFS_Lossonextinguishmentofdebt">Model!$564:$564</definedName>
    <definedName name="z_NVC8NN0168_MO_CFS_NetCFF">Model!$605:$605</definedName>
    <definedName name="z_NVC8NN0168_MO_CFS_NetCFI">Model!$588:$588</definedName>
    <definedName name="z_NVC8NN0168_MO_CFS_NetCFO">Model!$575:$575</definedName>
    <definedName name="z_NVC8NN0168_MO_CFS_NetChangeinCashBalance">Model!$608:$608</definedName>
    <definedName name="z_NVC8NN0168_MO_CFS_netincome">Model!$555:$555</definedName>
    <definedName name="z_NVC8NN0168_MO_CFS_Otherassets">Model!$583:$583</definedName>
    <definedName name="z_NVC8NN0168_MO_CFS_Othercurrentassets">Model!$570:$570</definedName>
    <definedName name="z_NVC8NN0168_MO_CFS_Otherfinancingactivities">Model!$604:$604</definedName>
    <definedName name="z_NVC8NN0168_MO_CFS_Othernoncashitems">Model!$563:$563</definedName>
    <definedName name="z_NVC8NN0168_MO_CFS_Othernoncurrentassetsandliabilities">Model!$574:$574</definedName>
    <definedName name="z_NVC8NN0168_MO_CFS_paymentsonlineofcredit">Model!$599:$599</definedName>
    <definedName name="z_NVC8NN0168_MO_CFS_prepaidcontent">Model!$569:$569</definedName>
    <definedName name="z_NVC8NN0168_MO_CFS_principalpaymentsofleasefinancingobligations">Model!$603:$603</definedName>
    <definedName name="z_NVC8NN0168_MO_CFS_proceedsfromissuanceofcommonstock">Model!$591:$591</definedName>
    <definedName name="z_NVC8NN0168_MO_CFS_proceedsfromissuanceofcommonstockuponexerciseofoptions">Model!$601:$601</definedName>
    <definedName name="z_NVC8NN0168_MO_CFS_Proceedsfromissuanceofdebt">Model!$593:$593</definedName>
    <definedName name="z_NVC8NN0168_MO_CFS_proceedsfrommaturitiesofshortterminvestments">Model!$587:$587</definedName>
    <definedName name="z_NVC8NN0168_MO_CFS_proceedsfrompublicofferingofcommonstock">Model!$592:$592</definedName>
    <definedName name="z_NVC8NN0168_MO_CFS_proceedsfromsaleofbusiness">Model!$582:$582</definedName>
    <definedName name="z_NVC8NN0168_MO_CFS_proceedsfromsaleofdvds">Model!$580:$580</definedName>
    <definedName name="z_NVC8NN0168_MO_CFS_proceedsfromsaleofshortterminvestments">Model!$586:$586</definedName>
    <definedName name="z_NVC8NN0168_MO_CFS_purchasesofpropertyandequipment">Model!$579:$579</definedName>
    <definedName name="z_NVC8NN0168_MO_CFS_purchasesofshortterminvestments">Model!$585:$585</definedName>
    <definedName name="z_NVC8NN0168_MO_CFS_Redemptionofdebt">Model!$596:$596</definedName>
    <definedName name="z_NVC8NN0168_MO_CFS_Repurchasesofcommonstock">Model!$600:$600</definedName>
    <definedName name="z_NVC8NN0168_MO_CFS_stockbasedcompensationexpense">Model!$561:$561</definedName>
    <definedName name="z_NVC8NN0168_MO_CFSum_Acquisitions">Model!$435:$435</definedName>
    <definedName name="z_NVC8NN0168_MO_CFSum_Capex">Model!$433:$433</definedName>
    <definedName name="z_NVC8NN0168_MO_CFSum_CashFlowPerDilutedShare">Model!$431:$431</definedName>
    <definedName name="z_NVC8NN0168_MO_CFSum_ConsensusEstimatesCapex">Model!$434:$434</definedName>
    <definedName name="z_NVC8NN0168_MO_CFSum_consensusestimatescashflowperdilutedshare">Model!$432:$432</definedName>
    <definedName name="z_NVC8NN0168_MO_CFSum_Divestiture">Model!$436:$436</definedName>
    <definedName name="z_NVC8NN0168_MO_CFSum_DividendPaid">Model!$437:$437</definedName>
    <definedName name="z_NVC8NN0168_MO_CFSum_DividendPerShare">Model!$438:$438</definedName>
    <definedName name="z_NVC8NN0168_MO_CFSum_EstimatedSharePriceforIssuanceBuybacks">Model!$442:$442</definedName>
    <definedName name="z_NVC8NN0168_MO_CFSum_FCF">Model!$447:$447</definedName>
    <definedName name="z_NVC8NN0168_MO_CFSum_FCF_1">Model!$448:$448</definedName>
    <definedName name="z_NVC8NN0168_MO_CFSum_FCF_2">Model!$449:$449</definedName>
    <definedName name="z_NVC8NN0168_MO_CFSum_FCFPostDivDebtBuyback">Model!$450:$450</definedName>
    <definedName name="z_NVC8NN0168_MO_CFSum_NetDebtIssuanceRepayment">Model!$440:$440</definedName>
    <definedName name="z_NVC8NN0168_MO_CFSum_NetShareIssuanceBuybacks">Model!$441:$441</definedName>
    <definedName name="z_NVC8NN0168_MO_CFSum_OperatingCashFlowbeforeWC">Model!$430:$430</definedName>
    <definedName name="z_NVC8NN0168_MO_CFSum_SBCexpense">Model!$444:$444</definedName>
    <definedName name="z_NVC8NN0168_MO_CFSum_SBCexpenseasofrevenue">Model!$445:$445</definedName>
    <definedName name="z_NVC8NN0168_MO_Checks_SNA_AdjustedNumbersFYSumofQs">Model!$721:$721</definedName>
    <definedName name="z_NVC8NN0168_MO_Checks_SNA_BalanceSheetisnotRepeated">Model!$717:$717</definedName>
    <definedName name="z_NVC8NN0168_MO_Checks_SNA_CapexisUpdated">Model!$719:$719</definedName>
    <definedName name="z_NVC8NN0168_MO_Checks_SNA_CashFlowisnotRepeated">Model!$715:$715</definedName>
    <definedName name="z_NVC8NN0168_MO_Checks_SNA_CashFlowSummarySignsareCorrect">Model!$722:$722</definedName>
    <definedName name="z_NVC8NN0168_MO_Checks_SNA_CashisPositive">Model!$712:$712</definedName>
    <definedName name="z_NVC8NN0168_MO_Checks_SNA_CFFsubtotalFYSumofQs">Model!$728:$728</definedName>
    <definedName name="z_NVC8NN0168_MO_Checks_SNA_CFIsubtotalFYSumofQs">Model!$727:$727</definedName>
    <definedName name="z_NVC8NN0168_MO_Checks_SNA_CFOBeforeWCsubtotalFYSumofQs">Model!$725:$725</definedName>
    <definedName name="z_NVC8NN0168_MO_Checks_SNA_CFOsubtotalFYSumofQs">Model!$726:$726</definedName>
    <definedName name="z_NVC8NN0168_MO_Checks_SNA_CFSummaryFYSumofQs">Model!$729:$729</definedName>
    <definedName name="z_NVC8NN0168_MO_Checks_SNA_DebtisPositive">Model!$713:$713</definedName>
    <definedName name="z_NVC8NN0168_MO_Checks_SNA_EndingCFEndingCumulativeCF">Model!$718:$718</definedName>
    <definedName name="z_NVC8NN0168_MO_Checks_SNA_IncomeStatementisnotRepeated">Model!$716:$716</definedName>
    <definedName name="z_NVC8NN0168_MO_Checks_SNA_MarginisUpdated">Model!$720:$720</definedName>
    <definedName name="z_NVC8NN0168_MO_Checks_SNA_NetIncomeonReportedISNIonRevised">Model!$711:$711</definedName>
    <definedName name="z_NVC8NN0168_MO_Checks_SNA_NetIncomeonRevisedISNIonCFstatement">Model!$710:$710</definedName>
    <definedName name="z_NVC8NN0168_MO_Checks_SNA_RISAdjustedNIFYSumofQs">Model!$724:$724</definedName>
    <definedName name="z_NVC8NN0168_MO_Checks_SNA_RISNIFYSumofQs">Model!$723:$723</definedName>
    <definedName name="z_NVC8NN0168_MO_Checks_SNA_SegmentedRevenueRevenue">Model!$714:$714</definedName>
    <definedName name="z_NVC8NN0168_MO_DAF_AmortizationaspercentageofIntangiblesBoP">Model!$640:$640</definedName>
    <definedName name="z_NVC8NN0168_MO_DAF_Amortizationofintangibles">Model!$634:$634</definedName>
    <definedName name="z_NVC8NN0168_MO_DAF_Capexofintangibles">Model!$635:$635</definedName>
    <definedName name="z_NVC8NN0168_MO_DAF_CapexofPPE">Model!$629:$629</definedName>
    <definedName name="z_NVC8NN0168_MO_DAF_DepreciationaspercentageofPPEBoP">Model!$639:$639</definedName>
    <definedName name="z_NVC8NN0168_MO_DAF_Depreciationoffixedassets">Model!$628:$628</definedName>
    <definedName name="z_NVC8NN0168_MO_DAF_Impliedlifeoffixedassets">Model!$641:$641</definedName>
    <definedName name="z_NVC8NN0168_MO_DAF_Impliedlifeofintangibles">Model!$642:$642</definedName>
    <definedName name="z_NVC8NN0168_MO_DAF_IntangiblesBoP">Model!$633:$633</definedName>
    <definedName name="z_NVC8NN0168_MO_DAF_IntangiblesEoP">Model!$637:$637</definedName>
    <definedName name="z_NVC8NN0168_MO_DAF_Othernetadditionstointangibles">Model!$636:$636</definedName>
    <definedName name="z_NVC8NN0168_MO_DAF_OthernetadditionstoPPE">Model!$630:$630</definedName>
    <definedName name="z_NVC8NN0168_MO_DAF_Percentageofcapexallocatedtointangibleassets">Model!$646:$646</definedName>
    <definedName name="z_NVC8NN0168_MO_DAF_PPEBoP">Model!$627:$627</definedName>
    <definedName name="z_NVC8NN0168_MO_DAF_PPEEoP">Model!$631:$631</definedName>
    <definedName name="z_NVC8NN0168_MO_DAF_TotalCapex">Model!$645:$645</definedName>
    <definedName name="z_NVC8NN0168_MO_DAF_TotalDA">Model!$644:$644</definedName>
    <definedName name="z_NVC8NN0168_MO_GA_AsiaPacificEOPPaidStreamingMembershipGrowth">Model!$120:$120</definedName>
    <definedName name="z_NVC8NN0168_MO_GA_AsiaPacificStreamingARPUGrowth">Model!$129:$129</definedName>
    <definedName name="z_NVC8NN0168_MO_GA_AsiaPacificStreamingRevenueGrowth">Model!$133:$133</definedName>
    <definedName name="z_NVC8NN0168_MO_GA_CalculatedCanadaEOPPaidStreamingMembershipGrowth">Model!$45:$45</definedName>
    <definedName name="z_NVC8NN0168_MO_GA_CalculatedCanadaStreamingARPUGrowth">Model!$61:$61</definedName>
    <definedName name="z_NVC8NN0168_MO_GA_CalculatedCanadaStreamingRevenueGrowth">Model!$70:$70</definedName>
    <definedName name="z_NVC8NN0168_MO_GA_EuropeMiddleEastAfricaEOPPaidStreamingMembershipGrowth">Model!$80:$80</definedName>
    <definedName name="z_NVC8NN0168_MO_GA_EuropeMiddleEastAfricaStreamingARPUGrowth">Model!$89:$89</definedName>
    <definedName name="z_NVC8NN0168_MO_GA_EuropeMiddleEastAfricaStreamingRevenueGrowth">Model!$93:$93</definedName>
    <definedName name="z_NVC8NN0168_MO_GA_LatinAmericaEOPPaidStreamingMembershipGrowth">Model!$100:$100</definedName>
    <definedName name="z_NVC8NN0168_MO_GA_LatinAmericaStreamingARPUGrowth">Model!$109:$109</definedName>
    <definedName name="z_NVC8NN0168_MO_GA_LatinAmericaStreamingRevenueGrowth">Model!$113:$113</definedName>
    <definedName name="z_NVC8NN0168_MO_GA_TotalEOPPaidStreamingMembershipGrowth">Model!$11:$11</definedName>
    <definedName name="z_NVC8NN0168_MO_GA_TotalStreamingARPUGrowth">Model!$19:$19</definedName>
    <definedName name="z_NVC8NN0168_MO_GA_TotalStreamingRevenueGrowth">Model!$23:$23</definedName>
    <definedName name="z_NVC8NN0168_MO_GA_UnitedStatesCanadaEOPPaidStreamingMembershipGrowth">Model!$52:$52</definedName>
    <definedName name="z_NVC8NN0168_MO_GA_UnitedStatesCanadaStreamingARPUGrowth">Model!$65:$65</definedName>
    <definedName name="z_NVC8NN0168_MO_GA_UnitedStatesCanadaStreamingRevenueGrowth">Model!$73:$73</definedName>
    <definedName name="z_NVC8NN0168_MO_GA_UnitedStatesDVDARPUGrowth">'Supplemental Data'!$75:$75</definedName>
    <definedName name="z_NVC8NN0168_MO_GA_UnitedStatesDVDRevenueGrowth">Model!$138:$138</definedName>
    <definedName name="z_NVC8NN0168_MO_GA_UnitedStatesEOPPaidStreamingMembershipGrowth">Model!$41:$41</definedName>
    <definedName name="z_NVC8NN0168_MO_GA_UnitedStatesStreamingARPUGrowth">Model!$59:$59</definedName>
    <definedName name="z_NVC8NN0168_MO_GA_UnitedStatesStreamingRevenueGrowth">Model!$68:$68</definedName>
    <definedName name="z_NVC8NN0168_MO_Header_ColumnHeader">Model!$5:$5</definedName>
    <definedName name="z_NVC8NN0168_MO_Header_CompanySubTitle">Model!$2:$2</definedName>
    <definedName name="z_NVC8NN0168_MO_Header_CompanyTitle">Model!$1:$1</definedName>
    <definedName name="z_NVC8NN0168_MO_Header_FPDays">Model!$3:$3</definedName>
    <definedName name="z_NVC8NN0168_MO_Header_HeaderRow">'Supplemental Data'!$1:$1</definedName>
    <definedName name="z_NVC8NN0168_MO_Header_HeaderRow_1">'Supplemental Data'!$2:$2</definedName>
    <definedName name="z_NVC8NN0168_MO_Header_HeaderRow_2">'Supplemental Data'!$3:$3</definedName>
    <definedName name="z_NVC8NN0168_MO_Header_HeaderRow_3">'Supplemental Data'!$4:$4</definedName>
    <definedName name="z_NVC8NN0168_MO_Header_HeaderRow_4">'Supplemental Data'!$5:$5</definedName>
    <definedName name="z_NVC8NN0168_MO_Header_QEndDate">Model!$4:$4</definedName>
    <definedName name="z_NVC8NN0168_MO_IS_costofrevenues">Model!$337:$337</definedName>
    <definedName name="z_NVC8NN0168_MO_IS_fulfillmentexpenses">Model!$336:$336</definedName>
    <definedName name="z_NVC8NN0168_MO_IS_generalandadministrative">Model!$341:$341</definedName>
    <definedName name="z_NVC8NN0168_MO_IS_grossprofit">Model!$338:$338</definedName>
    <definedName name="z_NVC8NN0168_MO_IS_incomebeforeincometaxes">Model!$347:$347</definedName>
    <definedName name="z_NVC8NN0168_MO_IS_Interestandotherincomeexpense">Model!$345:$345</definedName>
    <definedName name="z_NVC8NN0168_MO_IS_interestexpense">Model!$344:$344</definedName>
    <definedName name="z_NVC8NN0168_MO_IS_ISCheck">Model!$351:$351</definedName>
    <definedName name="z_NVC8NN0168_MO_IS_Lossonextinguishmentofdebt">Model!$346:$346</definedName>
    <definedName name="z_NVC8NN0168_MO_IS_marketing">Model!$339:$339</definedName>
    <definedName name="z_NVC8NN0168_MO_IS_netincome">Model!$349:$349</definedName>
    <definedName name="z_NVC8NN0168_MO_IS_operatingincome">Model!$343:$343</definedName>
    <definedName name="z_NVC8NN0168_MO_IS_provisionforincometaxes">Model!$348:$348</definedName>
    <definedName name="z_NVC8NN0168_MO_IS_revenues">Model!$334:$334</definedName>
    <definedName name="z_NVC8NN0168_MO_IS_subscription">Model!$335:$335</definedName>
    <definedName name="z_NVC8NN0168_MO_IS_technologyanddevelopment">Model!$340:$340</definedName>
    <definedName name="z_NVC8NN0168_MO_IS_totaloperatingexpenses">Model!$342:$342</definedName>
    <definedName name="z_NVC8NN0168_MO_MA_AddbackDAMargin">Model!$327:$327</definedName>
    <definedName name="z_NVC8NN0168_MO_MA_AddbackSBCMargin">Model!$328:$328</definedName>
    <definedName name="z_NVC8NN0168_MO_MA_AdjustedEBITDAMargin">Model!$330:$330</definedName>
    <definedName name="z_NVC8NN0168_MO_MA_AdjustedEBITMargin">Model!$324:$324</definedName>
    <definedName name="z_NVC8NN0168_MO_MA_AverageFXRate">Model!$485:$485</definedName>
    <definedName name="z_NVC8NN0168_MO_MA_COGSMargin_3">Model!$313:$313</definedName>
    <definedName name="z_NVC8NN0168_MO_MA_COGSMarginExcludingDA">Deleted</definedName>
    <definedName name="z_NVC8NN0168_MO_MA_COGSMarginIncludingDA">Deleted</definedName>
    <definedName name="z_NVC8NN0168_MO_MA_consensusestimatesadjustedebitdamargin">Model!$331:$331</definedName>
    <definedName name="z_NVC8NN0168_MO_MA_ConsensusEstimatesAdjustedEBITMargin">Model!$325:$325</definedName>
    <definedName name="z_NVC8NN0168_MO_MA_consensusestimatesgrossmargin">Model!$315:$315</definedName>
    <definedName name="z_NVC8NN0168_MO_MA_domesticdvdcogs">Model!$312:$312</definedName>
    <definedName name="z_NVC8NN0168_MO_MA_domesticdvdmarketing">Model!$320:$320</definedName>
    <definedName name="z_NVC8NN0168_MO_MA_domesticstreamingcogs">Model!$310:$310</definedName>
    <definedName name="z_NVC8NN0168_MO_MA_domesticstreamingmarketing">Model!$318:$318</definedName>
    <definedName name="z_NVC8NN0168_MO_MA_EBITDAMargin">Model!$329:$329</definedName>
    <definedName name="z_NVC8NN0168_MO_MA_EBITMargin">Model!$323:$323</definedName>
    <definedName name="z_NVC8NN0168_MO_MA_GAMargin">Model!$322:$322</definedName>
    <definedName name="z_NVC8NN0168_MO_MA_GrossMargin_3">Model!$314:$314</definedName>
    <definedName name="z_NVC8NN0168_MO_MA_GrossMarginExcludingDA">Deleted</definedName>
    <definedName name="z_NVC8NN0168_MO_MA_GrossMarginIncludingDA">Deleted</definedName>
    <definedName name="z_NVC8NN0168_MO_MA_internationalstreamingcogs">Model!$311:$311</definedName>
    <definedName name="z_NVC8NN0168_MO_MA_internationalstreamingmarketing">Model!$319:$319</definedName>
    <definedName name="z_NVC8NN0168_MO_MA_RDMargin">Model!$317:$317</definedName>
    <definedName name="z_NVC8NN0168_MO_MA_SMMargin">Model!$321:$321</definedName>
    <definedName name="z_NVC8NN0168_MO_MA_StockPriceTradingCurAvg">Model!$486:$486</definedName>
    <definedName name="z_NVC8NN0168_MO_OS__303">Model!$47:$47</definedName>
    <definedName name="z_NVC8NN0168_MO_OS__52">'Supplemental Data'!$49:$49</definedName>
    <definedName name="z_NVC8NN0168_MO_OS_Accountspayable">Model!$617:$617</definedName>
    <definedName name="z_NVC8NN0168_MO_OS_AccountspayableYYChange">Model!$622:$622</definedName>
    <definedName name="z_NVC8NN0168_MO_OS_Accruedexpenses">Model!$618:$618</definedName>
    <definedName name="z_NVC8NN0168_MO_OS_AccruedexpensesYYChange">Model!$623:$623</definedName>
    <definedName name="z_NVC8NN0168_MO_OS_additionstocontentlibrary">Model!$242:$242</definedName>
    <definedName name="z_NVC8NN0168_MO_OS_amortizationofcontentlibrary">Model!$243:$243</definedName>
    <definedName name="z_NVC8NN0168_MO_OS_Amortizationofcontentlibrary_1">Model!$208:$208</definedName>
    <definedName name="z_NVC8NN0168_MO_OS_AsiaPacificAveragePayingMemberships">Model!$122:$122</definedName>
    <definedName name="z_NVC8NN0168_MO_OS_AsiaPacificemployees">'Supplemental Data'!$22:$22</definedName>
    <definedName name="z_NVC8NN0168_MO_OS_AsiaPacificEOPpaidstreamingmemberships">Model!$118:$118</definedName>
    <definedName name="z_NVC8NN0168_MO_OS_AsiaPacificEOPPaidStreamingMemberships_1">Model!$147:$147</definedName>
    <definedName name="z_NVC8NN0168_MO_OS_AsiaPacificEOPPaidStreamingMembershipsmix">Model!$156:$156</definedName>
    <definedName name="z_NVC8NN0168_MO_OS_AsiaPacificpaidstreamingmembershipsnetadditions">Model!$117:$117</definedName>
    <definedName name="z_NVC8NN0168_MO_OS_AsiaPacificPaidStreamingMembershipsNetAdditions_1">Model!$164:$164</definedName>
    <definedName name="z_NVC8NN0168_MO_OS_AsiaPacificPaidStreamingMembershipsNetAdditionsMix">Model!$172:$172</definedName>
    <definedName name="z_NVC8NN0168_MO_OS_AsiaPacificStreamingARPU">Model!$126:$126</definedName>
    <definedName name="z_NVC8NN0168_MO_OS_AsiaPacificStreamingARPU_1">Model!$180:$180</definedName>
    <definedName name="z_NVC8NN0168_MO_OS_AsiaPacificStreamingRevenue">Model!$131:$131</definedName>
    <definedName name="z_NVC8NN0168_MO_OS_AsiaPacificStreamingRevenue_1">Model!$189:$189</definedName>
    <definedName name="z_NVC8NN0168_MO_OS_AsiaPacificStreamingRevenueMix">Model!$200:$200</definedName>
    <definedName name="z_NVC8NN0168_MO_OS_AverageDomesticPaidStreamingMembershipsinperiod">'Supplemental Data'!$59:$59</definedName>
    <definedName name="z_NVC8NN0168_MO_OS_AverageDomesticPaidStreamingMembershipsinperiod_1">'Supplemental Data'!$72:$72</definedName>
    <definedName name="z_NVC8NN0168_MO_OS_AverageInternationalPaidStreamingMembershipsinperiod">'Supplemental Data'!$64:$64</definedName>
    <definedName name="z_NVC8NN0168_MO_OS_Averagemonthlyrevenueperpayingstreamingmembership">"Deleted"</definedName>
    <definedName name="z_NVC8NN0168_MO_OS_Averagemonthlyrevenueperpayingstreamingmembership_1">"Deleted"</definedName>
    <definedName name="z_NVC8NN0168_MO_OS_Averagemonthlyrevenueperpayingstreamingmembership_2">"Deleted"</definedName>
    <definedName name="z_NVC8NN0168_MO_OS_Averagemonthlyrevenueperpayingstreamingmembership_3">"Deleted"</definedName>
    <definedName name="z_NVC8NN0168_MO_OS_Averagepaidstreamingmembershipsduringperiod">"Deleted"</definedName>
    <definedName name="z_NVC8NN0168_MO_OS_Averagepaidstreamingmembershipsduringperiod_1">"Deleted"</definedName>
    <definedName name="z_NVC8NN0168_MO_OS_Averagepaidstreamingmembershipsduringperiod_2">"Deleted"</definedName>
    <definedName name="z_NVC8NN0168_MO_OS_Averagepaidstreamingmembershipsduringperiod_3">"Deleted"</definedName>
    <definedName name="z_NVC8NN0168_MO_OS_BoPAsiaPacificPaidStreamingMemberships">Model!$116:$116</definedName>
    <definedName name="z_NVC8NN0168_MO_OS_BoPEMEAPaidStreamingMemberships">Model!$76:$76</definedName>
    <definedName name="z_NVC8NN0168_MO_OS_BoPLatinAmericaPaidStreamingMemberships">Model!$96:$96</definedName>
    <definedName name="z_NVC8NN0168_MO_OS_BoPTotalGlobalPaidStreamingMemberships">Model!$7:$7</definedName>
    <definedName name="z_NVC8NN0168_MO_OS_BoPUnitedStatesCanadaPaidStreamingMemberships">Model!$48:$48</definedName>
    <definedName name="z_NVC8NN0168_MO_OS_BroadcastasofTVtime">Model!$263:$263</definedName>
    <definedName name="z_NVC8NN0168_MO_OS_CableasofTVtime">Model!$264:$264</definedName>
    <definedName name="z_NVC8NN0168_MO_OS_CalculatedCanadaEOPpaidstreamingmemberships">Model!$43:$43</definedName>
    <definedName name="z_NVC8NN0168_MO_OS_CalculatedCanadaEOPpaidstreamingmemberships_1">Model!$143:$143</definedName>
    <definedName name="z_NVC8NN0168_MO_OS_CalculatedCanadaEOPpaidstreamingmembershipsmix">Model!$152:$152</definedName>
    <definedName name="z_NVC8NN0168_MO_OS_CalculatedCanadaStreamingARPU">Model!$60:$60</definedName>
    <definedName name="z_NVC8NN0168_MO_OS_CalculatedCanadaStreamingARPU_1">Model!$176:$176</definedName>
    <definedName name="z_NVC8NN0168_MO_OS_CalculatedCanadaStreamingRevenue">Model!$69:$69</definedName>
    <definedName name="z_NVC8NN0168_MO_OS_CalculatedCanadastreamingrevenue_1">Model!$185:$185</definedName>
    <definedName name="z_NVC8NN0168_MO_OS_CalculatedCanadastreamingrevenuemix">Model!$196:$196</definedName>
    <definedName name="z_NVC8NN0168_MO_OS_Canadapaidstreamingmembershipsnetadditions">Model!$46:$46</definedName>
    <definedName name="z_NVC8NN0168_MO_OS_Canadapaidstreamingmembershipsnetadditions_1">Model!$160:$160</definedName>
    <definedName name="z_NVC8NN0168_MO_OS_Canadapaidstreamingmembershipsnetadditionsmix">Model!$168:$168</definedName>
    <definedName name="z_NVC8NN0168_MO_OS_changeascomparedtopriorperiod">"Deleted"</definedName>
    <definedName name="z_NVC8NN0168_MO_OS_changeascomparedtopriorperiod_1">"Deleted"</definedName>
    <definedName name="z_NVC8NN0168_MO_OS_changeascomparedtopriorperiod_2">"Deleted"</definedName>
    <definedName name="z_NVC8NN0168_MO_OS_changeascomparedtopriorperiod_3">"Deleted"</definedName>
    <definedName name="z_NVC8NN0168_MO_OS_COGSChangeDiscrepancy">Model!$275:$275</definedName>
    <definedName name="z_NVC8NN0168_MO_OS_COGSChangeinacquisitionlicensingandproductionofcontent">Model!$272:$272</definedName>
    <definedName name="z_NVC8NN0168_MO_OS_COGSChangeinContentamortization">Model!$270:$270</definedName>
    <definedName name="z_NVC8NN0168_MO_OS_COGSChangeinincrementalcontentcostsduetopausedproductionandhardshipfundcommitmentsduetoCOVID19">Model!$271:$271</definedName>
    <definedName name="z_NVC8NN0168_MO_OS_COGSChangeinOthercosts">Model!$274:$274</definedName>
    <definedName name="z_NVC8NN0168_MO_OS_COGSChangeinstreamingdeliverycostsandpaymentprocessingfees">Model!$273:$273</definedName>
    <definedName name="z_NVC8NN0168_MO_OS_ConsensusEstimatesGrossMargin">Model!$217:$217</definedName>
    <definedName name="z_NVC8NN0168_MO_OS_ConsensusEstimatesNetRevenue">Model!$29:$29</definedName>
    <definedName name="z_NVC8NN0168_MO_OS_Constantcurrencychangeascomparedtoprioryearperiod">Model!$64:$64</definedName>
    <definedName name="z_NVC8NN0168_MO_OS_Constantcurrencychangeascomparedtoprioryearperiod_1">Model!$88:$88</definedName>
    <definedName name="z_NVC8NN0168_MO_OS_Constantcurrencychangeascomparedtoprioryearperiod_2">Model!$108:$108</definedName>
    <definedName name="z_NVC8NN0168_MO_OS_Constantcurrencychangeascomparedtoprioryearperiod_3">Model!$128:$128</definedName>
    <definedName name="z_NVC8NN0168_MO_OS_Constantcurrencyrevenue">Model!$34:$34</definedName>
    <definedName name="z_NVC8NN0168_MO_OS_contentlibrarybop">Model!$241:$241</definedName>
    <definedName name="z_NVC8NN0168_MO_OS_contentlibraryeop">Model!$245:$245</definedName>
    <definedName name="z_NVC8NN0168_MO_OS_CurrentCOGS">Model!$276:$276</definedName>
    <definedName name="z_NVC8NN0168_MO_OS_Currentcontentliabilities">'Supplemental Data'!$7:$7</definedName>
    <definedName name="z_NVC8NN0168_MO_OS_CurrentDomesticCOGS">Model!$301:$301</definedName>
    <definedName name="z_NVC8NN0168_MO_OS_CurrentGA">Model!$294:$294</definedName>
    <definedName name="z_NVC8NN0168_MO_OS_CurrentInternationalCOGS">Model!$307:$307</definedName>
    <definedName name="z_NVC8NN0168_MO_OS_CurrentMarketing">Model!$282:$282</definedName>
    <definedName name="z_NVC8NN0168_MO_OS_CurrentTechnologyandDevelopment">Model!$288:$288</definedName>
    <definedName name="z_NVC8NN0168_MO_OS_Deferredrevenue">Model!$619:$619</definedName>
    <definedName name="z_NVC8NN0168_MO_OS_DeferredrevenueYYChange">Model!$624:$624</definedName>
    <definedName name="z_NVC8NN0168_MO_OS_DisneystreamingasofTVtime">Model!$260:$260</definedName>
    <definedName name="z_NVC8NN0168_MO_OS_DomesticCOGSChangeinContentamortization">Model!$297:$297</definedName>
    <definedName name="z_NVC8NN0168_MO_OS_DomesticCOGSChangeinStreamingdeliveryexpenses">Model!$298:$298</definedName>
    <definedName name="z_NVC8NN0168_MO_OS_DomesticCOGSChangesinOthercosts">Model!$299:$299</definedName>
    <definedName name="z_NVC8NN0168_MO_OS_DomesticCOGSDiscrepancies">Model!$300:$300</definedName>
    <definedName name="z_NVC8NN0168_MO_OS_domesticdvdcogs">'Supplemental Data'!$37:$37</definedName>
    <definedName name="z_NVC8NN0168_MO_OS_DomesticDVDfreetrials">'Supplemental Data'!$79:$79</definedName>
    <definedName name="z_NVC8NN0168_MO_OS_domesticdvdmarketingexpense">'Supplemental Data'!$42:$42</definedName>
    <definedName name="z_NVC8NN0168_MO_OS_domesticdvdmonthlyarpu">"Deleted"</definedName>
    <definedName name="z_NVC8NN0168_MO_OS_DomesticDVDMonthlyARPUGrowth">"Deleted"</definedName>
    <definedName name="z_NVC8NN0168_MO_OS_domesticdvdnetcontribution">'Supplemental Data'!$47:$47</definedName>
    <definedName name="z_NVC8NN0168_MO_OS_DomesticDVDNetContributionmargin">'Supplemental Data'!$52:$52</definedName>
    <definedName name="z_NVC8NN0168_MO_OS_domesticdvdrevenue">'Supplemental Data'!$30:$30</definedName>
    <definedName name="z_NVC8NN0168_MO_OS_domesticdvdrevenuegrowth">'Supplemental Data'!$31:$31</definedName>
    <definedName name="z_NVC8NN0168_MO_OS_Domesticfreetrials">'Supplemental Data'!$77:$77</definedName>
    <definedName name="z_NVC8NN0168_MO_OS_DomesticPaidBOPDVDMemberships">'Supplemental Data'!$69:$69</definedName>
    <definedName name="z_NVC8NN0168_MO_OS_DomesticPaidBOPStreamingMemberships">'Supplemental Data'!$56:$56</definedName>
    <definedName name="z_NVC8NN0168_MO_OS_domesticpaideopdvdmemberships">'Supplemental Data'!$71:$71</definedName>
    <definedName name="z_NVC8NN0168_MO_OS_domesticpaideopstreamingmemberships">'Supplemental Data'!$58:$58</definedName>
    <definedName name="z_NVC8NN0168_MO_OS_domesticstreamingcogs">'Supplemental Data'!$35:$35</definedName>
    <definedName name="z_NVC8NN0168_MO_OS_domesticstreamingmarketingexpense">'Supplemental Data'!$40:$40</definedName>
    <definedName name="z_NVC8NN0168_MO_OS_domesticstreamingmonthlyarpu">"Deleted"</definedName>
    <definedName name="z_NVC8NN0168_MO_OS_DomesticStreamingMonthlyARPUGrowth">"Deleted"</definedName>
    <definedName name="z_NVC8NN0168_MO_OS_domesticstreamingnetcontribution">'Supplemental Data'!$45:$45</definedName>
    <definedName name="z_NVC8NN0168_MO_OS_DomesticStreamingNetContributionmargin">'Supplemental Data'!$50:$50</definedName>
    <definedName name="z_NVC8NN0168_MO_OS_domesticstreamingrevenue">'Supplemental Data'!$26:$26</definedName>
    <definedName name="z_NVC8NN0168_MO_OS_domesticstreamingrevenuegrowth">'Supplemental Data'!$27:$27</definedName>
    <definedName name="z_NVC8NN0168_MO_OS_Dueafterfiveyears">'Supplemental Data'!$15:$15</definedName>
    <definedName name="z_NVC8NN0168_MO_OS_Dueafteroneyearandthroughthreeyears">'Supplemental Data'!$13:$13</definedName>
    <definedName name="z_NVC8NN0168_MO_OS_Dueafterthreeyearsandthroughfiveyears">'Supplemental Data'!$14:$14</definedName>
    <definedName name="z_NVC8NN0168_MO_OS_DVD">'Supplemental Data'!$88:$88</definedName>
    <definedName name="z_NVC8NN0168_MO_OS_EBIT">Model!$235:$235</definedName>
    <definedName name="z_NVC8NN0168_MO_OS_EBITMargin">Model!$237:$237</definedName>
    <definedName name="z_NVC8NN0168_MO_OS_EMEAAveragePayingMemberships">Model!$82:$82</definedName>
    <definedName name="z_NVC8NN0168_MO_OS_EMEAemployees">'Supplemental Data'!$20:$20</definedName>
    <definedName name="z_NVC8NN0168_MO_OS_EMEAEOPPaidStreamingMemberships">Model!$145:$145</definedName>
    <definedName name="z_NVC8NN0168_MO_OS_EMEAEOPPaidStreamingMembershipsmix">Model!$154:$154</definedName>
    <definedName name="z_NVC8NN0168_MO_OS_EMEAPaidStreamingMembershipsNetAdditions">Model!$162:$162</definedName>
    <definedName name="z_NVC8NN0168_MO_OS_EMEAPaidStreamingMembershipsNetAdditionsMix">Model!$170:$170</definedName>
    <definedName name="z_NVC8NN0168_MO_OS_EMEAStreamingARPU">Model!$178:$178</definedName>
    <definedName name="z_NVC8NN0168_MO_OS_EMEAStreamingRevenue">Model!$187:$187</definedName>
    <definedName name="z_NVC8NN0168_MO_OS_EMEAStreamingRevenueMix">Model!$198:$198</definedName>
    <definedName name="z_NVC8NN0168_MO_OS_EuropeMiddleEastAfricaEOPpaidstreamingmemberships">Model!$78:$78</definedName>
    <definedName name="z_NVC8NN0168_MO_OS_EuropeMiddleEastAfricapaidstreamingmembershipsnetadditions">Model!$77:$77</definedName>
    <definedName name="z_NVC8NN0168_MO_OS_EuropeMiddleEastAfricaStreamingARPU">Model!$86:$86</definedName>
    <definedName name="z_NVC8NN0168_MO_OS_EuropeMiddleEastAfricaStreamingRevenue">Model!$91:$91</definedName>
    <definedName name="z_NVC8NN0168_MO_OS_expectedcontentlibrarylife">Model!$247:$247</definedName>
    <definedName name="z_NVC8NN0168_MO_OS_FXimpact">Model!$35:$35</definedName>
    <definedName name="z_NVC8NN0168_MO_OS_GAChangeDiscrepancy">Model!$293:$293</definedName>
    <definedName name="z_NVC8NN0168_MO_OS_GAChangePersonnelrelatedexpenses">Model!$291:$291</definedName>
    <definedName name="z_NVC8NN0168_MO_OS_GAChangeThirdpartyexpenses">Model!$292:$292</definedName>
    <definedName name="z_NVC8NN0168_MO_OS_GAExpense">Model!$230:$230</definedName>
    <definedName name="z_NVC8NN0168_MO_OS_GAMargin">Model!$232:$232</definedName>
    <definedName name="z_NVC8NN0168_MO_OS_GlobalStreamingARPU">Model!$181:$181</definedName>
    <definedName name="z_NVC8NN0168_MO_OS_GrossMargin">Model!$216:$216</definedName>
    <definedName name="z_NVC8NN0168_MO_OS_GrossProfit">Model!$214:$214</definedName>
    <definedName name="z_NVC8NN0168_MO_OS_HulustreamingasofTVtime">Model!$258:$258</definedName>
    <definedName name="z_NVC8NN0168_MO_OS_Indevelopmentandproduction">'Supplemental Data'!$86:$86</definedName>
    <definedName name="z_NVC8NN0168_MO_OS_Inproduction">'Supplemental Data'!$85:$85</definedName>
    <definedName name="z_NVC8NN0168_MO_OS_InternationalCOGSChangeinContentamortization">Model!$304:$304</definedName>
    <definedName name="z_NVC8NN0168_MO_OS_InternationalCOGSChangesinOthercosts">Model!$305:$305</definedName>
    <definedName name="z_NVC8NN0168_MO_OS_InternationalCOGSDiscrepancies">Model!$306:$306</definedName>
    <definedName name="z_NVC8NN0168_MO_OS_InternationalEOPpaidstreamingmemberships">Model!$141:$141</definedName>
    <definedName name="z_NVC8NN0168_MO_OS_InternationalEOPpaidstreamingmembershipsmix">Model!$150:$150</definedName>
    <definedName name="z_NVC8NN0168_MO_OS_Internationalfreetrials">'Supplemental Data'!$78:$78</definedName>
    <definedName name="z_NVC8NN0168_MO_OS_InternationalPaidBOPStreamingMemberships">'Supplemental Data'!$61:$61</definedName>
    <definedName name="z_NVC8NN0168_MO_OS_internationalpaideopstreamingmemberships">'Supplemental Data'!$63:$63</definedName>
    <definedName name="z_NVC8NN0168_MO_OS_internationalstreamingcogs">'Supplemental Data'!$36:$36</definedName>
    <definedName name="z_NVC8NN0168_MO_OS_internationalstreamingmarketingexpense">'Supplemental Data'!$41:$41</definedName>
    <definedName name="z_NVC8NN0168_MO_OS_internationalstreamingmonthlyarpu">'Supplemental Data'!$66:$66</definedName>
    <definedName name="z_NVC8NN0168_MO_OS_InternationalStreamingMonthlyARPUGrowth">'Supplemental Data'!$67:$67</definedName>
    <definedName name="z_NVC8NN0168_MO_OS_internationalstreamingnetcontribution">'Supplemental Data'!$46:$46</definedName>
    <definedName name="z_NVC8NN0168_MO_OS_InternationalStreamingNetContributionmargin">'Supplemental Data'!$51:$51</definedName>
    <definedName name="z_NVC8NN0168_MO_OS_internationalstreamingrevenue">'Supplemental Data'!$28:$28</definedName>
    <definedName name="z_NVC8NN0168_MO_OS_InternationalStreamingRevenue_2">Model!$183:$183</definedName>
    <definedName name="z_NVC8NN0168_MO_OS_internationalstreamingrevenuegrowth">'Supplemental Data'!$29:$29</definedName>
    <definedName name="z_NVC8NN0168_MO_OS_InternationalStreamingRevenueMix">Model!$194:$194</definedName>
    <definedName name="z_NVC8NN0168_MO_OS_LatinAmericaAveragePayingMemberships">Model!$102:$102</definedName>
    <definedName name="z_NVC8NN0168_MO_OS_LatinAmericaemployees">'Supplemental Data'!$21:$21</definedName>
    <definedName name="z_NVC8NN0168_MO_OS_LatinAmericaEOPpaidstreamingmemberships">Model!$98:$98</definedName>
    <definedName name="z_NVC8NN0168_MO_OS_LatinAmericaEOPPaidStreamingMemberships_1">Model!$146:$146</definedName>
    <definedName name="z_NVC8NN0168_MO_OS_LatinAmericaEOPPaidStreamingMembershipsmix">Model!$155:$155</definedName>
    <definedName name="z_NVC8NN0168_MO_OS_LatinAmericapaidstreamingmembershipsnetadditions">Model!$97:$97</definedName>
    <definedName name="z_NVC8NN0168_MO_OS_LatinAmericaPaidStreamingMembershipsNetAdditions_1">Model!$163:$163</definedName>
    <definedName name="z_NVC8NN0168_MO_OS_LatinAmericaPaidStreamingMembershipsNetAdditionsMix">Model!$171:$171</definedName>
    <definedName name="z_NVC8NN0168_MO_OS_LatinAmericaStreamingARPU">Model!$106:$106</definedName>
    <definedName name="z_NVC8NN0168_MO_OS_LatinAmericaStreamingARPU_1">Model!$179:$179</definedName>
    <definedName name="z_NVC8NN0168_MO_OS_LatinAmericaStreamingRevenue">Model!$111:$111</definedName>
    <definedName name="z_NVC8NN0168_MO_OS_LatinAmericaStreamingRevenue_1">Model!$188:$188</definedName>
    <definedName name="z_NVC8NN0168_MO_OS_LatinAmericaStreamingRevenueMix">Model!$199:$199</definedName>
    <definedName name="z_NVC8NN0168_MO_OS_Lessthanoneyear">'Supplemental Data'!$12:$12</definedName>
    <definedName name="z_NVC8NN0168_MO_OS_Licensedcontent">'Supplemental Data'!$83:$83</definedName>
    <definedName name="z_NVC8NN0168_MO_OS_MarketingChangeAdvertisingandpaymentstopartners">Model!$280:$280</definedName>
    <definedName name="z_NVC8NN0168_MO_OS_MarketingChangeDiscrepancy">Model!$281:$281</definedName>
    <definedName name="z_NVC8NN0168_MO_OS_MarketingChangePersonnelrelatedexpenses">Model!$279:$279</definedName>
    <definedName name="z_NVC8NN0168_MO_OS_NetDomesticPaidDVDMembershipsChange">'Supplemental Data'!$70:$70</definedName>
    <definedName name="z_NVC8NN0168_MO_OS_netdomesticpaidstreamingmembershipschange">'Supplemental Data'!$57:$57</definedName>
    <definedName name="z_NVC8NN0168_MO_OS_NetflixstreamingasofTVtime">Model!$256:$256</definedName>
    <definedName name="z_NVC8NN0168_MO_OS_netinternationalpaidstreamingmembershipschange">'Supplemental Data'!$62:$62</definedName>
    <definedName name="z_NVC8NN0168_MO_OS_Noncurrentcontentliabilities">'Supplemental Data'!$8:$8</definedName>
    <definedName name="z_NVC8NN0168_MO_OS_Otheradditionssubtractions">Model!$244:$244</definedName>
    <definedName name="z_NVC8NN0168_MO_OS_OtherasofTVtime">Model!$265:$265</definedName>
    <definedName name="z_NVC8NN0168_MO_OS_OtherCOGS">Model!$209:$209</definedName>
    <definedName name="z_NVC8NN0168_MO_OS_OtherCOGSMargin">Model!$211:$211</definedName>
    <definedName name="z_NVC8NN0168_MO_OS_Othercurrentassets">Model!$616:$616</definedName>
    <definedName name="z_NVC8NN0168_MO_OS_OthercurrentassetsYYChange">Model!$621:$621</definedName>
    <definedName name="z_NVC8NN0168_MO_OS_OtherobligationsnotreflectedinBalancesheet">'Supplemental Data'!$9:$9</definedName>
    <definedName name="z_NVC8NN0168_MO_OS_OtherstreamingasofTVtime">Model!$261:$261</definedName>
    <definedName name="z_NVC8NN0168_MO_OS_Paidnetstreamingmembershipadditions">"Deleted"</definedName>
    <definedName name="z_NVC8NN0168_MO_OS_Paidnetstreamingmembershipadditions_1">"Deleted"</definedName>
    <definedName name="z_NVC8NN0168_MO_OS_Paidnetstreamingmembershipadditions_2">"Deleted"</definedName>
    <definedName name="z_NVC8NN0168_MO_OS_Paidnetstreamingmembershipadditions_3">"Deleted"</definedName>
    <definedName name="z_NVC8NN0168_MO_OS_Paidstreamingmembershipsatendoftheperiod">"Deleted"</definedName>
    <definedName name="z_NVC8NN0168_MO_OS_Paidstreamingmembershipsatendoftheperiod_1">"Deleted"</definedName>
    <definedName name="z_NVC8NN0168_MO_OS_Paidstreamingmembershipsatendoftheperiod_2">"Deleted"</definedName>
    <definedName name="z_NVC8NN0168_MO_OS_Paidstreamingmembershipsatendoftheperiod_3">"Deleted"</definedName>
    <definedName name="z_NVC8NN0168_MO_OS_PreviousCOGS">Model!$269:$269</definedName>
    <definedName name="z_NVC8NN0168_MO_OS_PreviousDomesticCOGS">Model!$296:$296</definedName>
    <definedName name="z_NVC8NN0168_MO_OS_PreviousGA">Model!$290:$290</definedName>
    <definedName name="z_NVC8NN0168_MO_OS_PreviousInternationalCOGS">Model!$303:$303</definedName>
    <definedName name="z_NVC8NN0168_MO_OS_PreviousMarketing">Model!$278:$278</definedName>
    <definedName name="z_NVC8NN0168_MO_OS_PreviousTechnologyandDevelopment">Model!$284:$284</definedName>
    <definedName name="z_NVC8NN0168_MO_OS_PrimeVideostreamingasofTVtime">Model!$259:$259</definedName>
    <definedName name="z_NVC8NN0168_MO_OS_Producedcontent">'Supplemental Data'!$87:$87</definedName>
    <definedName name="z_NVC8NN0168_MO_OS_QQAsiaPacificaveragepayingmembershipsgrowth">Model!$123:$123</definedName>
    <definedName name="z_NVC8NN0168_MO_OS_QQAsiaPacificEOPpaidstreamingmembershipsgrowth">Model!$119:$119</definedName>
    <definedName name="z_NVC8NN0168_MO_OS_QQAsiaPacificstreamingARPUgrowth">Model!$127:$127</definedName>
    <definedName name="z_NVC8NN0168_MO_OS_QQAsiaPacificStreamingRevenuegrowth">Model!$132:$132</definedName>
    <definedName name="z_NVC8NN0168_MO_OS_QQCalculatedCanadaEOPpaidstreamingmembershipgrowth">Model!$44:$44</definedName>
    <definedName name="z_NVC8NN0168_MO_OS_QQEMEAaveragepayingmembershipsgrowth">Model!$83:$83</definedName>
    <definedName name="z_NVC8NN0168_MO_OS_QQEMEAEOPpaidstreamingmembershipsgrowth">Model!$79:$79</definedName>
    <definedName name="z_NVC8NN0168_MO_OS_QQEMEAstreamingARPUgrowth">Model!$87:$87</definedName>
    <definedName name="z_NVC8NN0168_MO_OS_QQEMEAstreamingrevenuegrowth">Model!$92:$92</definedName>
    <definedName name="z_NVC8NN0168_MO_OS_QQGlobalEOPpaidstreamingmembershipsgrowth">Model!$10:$10</definedName>
    <definedName name="z_NVC8NN0168_MO_OS_QQGlobalstreamingARPUgrowth">Model!$17:$17</definedName>
    <definedName name="z_NVC8NN0168_MO_OS_QQLatinAmericaaveragepayingmembershipsgrowth">Model!$103:$103</definedName>
    <definedName name="z_NVC8NN0168_MO_OS_QQLatinAmericaEOPpaidstreamingmembershipsgrowth">Model!$99:$99</definedName>
    <definedName name="z_NVC8NN0168_MO_OS_QQLatinAmericastreamingARPUgrowth">Model!$107:$107</definedName>
    <definedName name="z_NVC8NN0168_MO_OS_QQLatinAmericastreamingrevenuegrowth">Model!$112:$112</definedName>
    <definedName name="z_NVC8NN0168_MO_OS_QQStreamingrevenuegrowth">Model!$22:$22</definedName>
    <definedName name="z_NVC8NN0168_MO_OS_QQTotalaveragepayingmembershipsgrowth">Model!$13:$13</definedName>
    <definedName name="z_NVC8NN0168_MO_OS_QQTotalpaidstreamingmembershipsnetadditionsgrowth">"Deleted"</definedName>
    <definedName name="z_NVC8NN0168_MO_OS_QQTotalrevenuegrowth">Model!$30:$30</definedName>
    <definedName name="z_NVC8NN0168_MO_OS_QQUnitedStatesCanadaaveragepayingmembershipsgrowth">Model!$55:$55</definedName>
    <definedName name="z_NVC8NN0168_MO_OS_QQUnitedStatesCanadaEOPpaidstreamingmembershipsgrowth">Model!$51:$51</definedName>
    <definedName name="z_NVC8NN0168_MO_OS_QQUnitedStatesCanadastreamingARPUgrowth">Model!$63:$63</definedName>
    <definedName name="z_NVC8NN0168_MO_OS_QQUnitedStatesCanadastreamingrevenuegrowth">Model!$72:$72</definedName>
    <definedName name="z_NVC8NN0168_MO_OS_QQUnitedStatesDVDrevenuegrowth">Model!$25:$25</definedName>
    <definedName name="z_NVC8NN0168_MO_OS_QQUnitedStatesDVDrevenuegrowth_1">Model!$137:$137</definedName>
    <definedName name="z_NVC8NN0168_MO_OS_QQUnitedStatesEOPpaidstreamingmembershipgrowth">Model!$40:$40</definedName>
    <definedName name="z_NVC8NN0168_MO_OS_RDExpense">Model!$220:$220</definedName>
    <definedName name="z_NVC8NN0168_MO_OS_RDMargin">Model!$222:$222</definedName>
    <definedName name="z_NVC8NN0168_MO_OS_Released">'Supplemental Data'!$84:$84</definedName>
    <definedName name="z_NVC8NN0168_MO_OS_Revenue_4">Model!$206:$206</definedName>
    <definedName name="z_NVC8NN0168_MO_OS_Revenues">"Deleted"</definedName>
    <definedName name="z_NVC8NN0168_MO_OS_Revenues_1">"Deleted"</definedName>
    <definedName name="z_NVC8NN0168_MO_OS_Revenues_2">"Deleted"</definedName>
    <definedName name="z_NVC8NN0168_MO_OS_Revenues_3">"Deleted"</definedName>
    <definedName name="z_NVC8NN0168_MO_OS_SMExpense">Model!$225:$225</definedName>
    <definedName name="z_NVC8NN0168_MO_OS_SMMargin">Model!$227:$227</definedName>
    <definedName name="z_NVC8NN0168_MO_OS_TechDevChangeDiscrepancy">Model!$287:$287</definedName>
    <definedName name="z_NVC8NN0168_MO_OS_TechDevChangePersonnelexpenses">Model!$285:$285</definedName>
    <definedName name="z_NVC8NN0168_MO_OS_TechDevChangeThirdpartyexpenses">Model!$286:$286</definedName>
    <definedName name="z_NVC8NN0168_MO_OS_TotalAveragePayingMemberships">Model!$12:$12</definedName>
    <definedName name="z_NVC8NN0168_MO_OS_totalcogs">'Supplemental Data'!$38:$38</definedName>
    <definedName name="z_NVC8NN0168_MO_OS_TotalCOGS_1">Model!$210:$210</definedName>
    <definedName name="z_NVC8NN0168_MO_OS_TotalContentAssets">'Supplemental Data'!$89:$89</definedName>
    <definedName name="z_NVC8NN0168_MO_OS_TotalContentObligations">'Supplemental Data'!$10:$10</definedName>
    <definedName name="z_NVC8NN0168_MO_OS_TotalContentObligations_1">'Supplemental Data'!$16:$16</definedName>
    <definedName name="z_NVC8NN0168_MO_OS_TotalEOPGlobalStreamingMembershipsMix">Model!$157:$157</definedName>
    <definedName name="z_NVC8NN0168_MO_OS_TotalEOPpaidstreamingmemberships">Model!$148:$148</definedName>
    <definedName name="z_NVC8NN0168_MO_OS_Totalfreetrials">'Supplemental Data'!$80:$80</definedName>
    <definedName name="z_NVC8NN0168_MO_OS_TotalFulltimeEmployees">'Supplemental Data'!$23:$23</definedName>
    <definedName name="z_NVC8NN0168_MO_OS_TotalGlobalEOPPaidStreamingMemberships">Model!$9:$9</definedName>
    <definedName name="z_NVC8NN0168_MO_OS_TotalGlobalStreamingARPU">Model!$16:$16</definedName>
    <definedName name="z_NVC8NN0168_MO_OS_totalmarketingexpense">'Supplemental Data'!$43:$43</definedName>
    <definedName name="z_NVC8NN0168_MO_OS_totalnetcontribution">'Supplemental Data'!$48:$48</definedName>
    <definedName name="z_NVC8NN0168_MO_OS_TotalNetContributionmargin">'Supplemental Data'!$53:$53</definedName>
    <definedName name="z_NVC8NN0168_MO_OS_Totalpaidstreamingmembershipsnetadditions">Model!$165:$165</definedName>
    <definedName name="z_NVC8NN0168_MO_OS_TotalPaidStreamingMembershipsNetAdditions_1">Model!$8:$8</definedName>
    <definedName name="z_NVC8NN0168_MO_OS_TotalPaidStreamingMembershipsNetAdditionsMix">Model!$173:$173</definedName>
    <definedName name="z_NVC8NN0168_MO_OS_totalrevenue">'Supplemental Data'!$32:$32</definedName>
    <definedName name="z_NVC8NN0168_MO_OS_TotalRevenue_2">Model!$192:$192</definedName>
    <definedName name="z_NVC8NN0168_MO_OS_TotalRevenue_3">Model!$28:$28</definedName>
    <definedName name="z_NVC8NN0168_MO_OS_TotalRevenueGrowth">Model!$32:$32</definedName>
    <definedName name="z_NVC8NN0168_MO_OS_TotalRevenueMixmm">Model!$203:$203</definedName>
    <definedName name="z_NVC8NN0168_MO_OS_TotalStreamingasofTVtime">Model!$262:$262</definedName>
    <definedName name="z_NVC8NN0168_MO_OS_TotalStreamingRevenue">Model!$190:$190</definedName>
    <definedName name="z_NVC8NN0168_MO_OS_TotalStreamingRevenue_1">Model!$21:$21</definedName>
    <definedName name="z_NVC8NN0168_MO_OS_TotalStreamingRevenueMix">Model!$201:$201</definedName>
    <definedName name="z_NVC8NN0168_MO_OS_TotalUSTVTime">Model!$266:$266</definedName>
    <definedName name="z_NVC8NN0168_MO_OS_UnitedStatesandCanadapaidstreamingmembershipsnetadditions">Model!$49:$49</definedName>
    <definedName name="z_NVC8NN0168_MO_OS_UnitedStatesandCanadaPaidStreamingMembershipsNetAdditions_1">Model!$161:$161</definedName>
    <definedName name="z_NVC8NN0168_MO_OS_UnitedStatesandCanadaPaidStreamingMembershipsNetAdditionsMix">Model!$169:$169</definedName>
    <definedName name="z_NVC8NN0168_MO_OS_UnitedStatesCanadaAveragePayingMemberships">Model!$54:$54</definedName>
    <definedName name="z_NVC8NN0168_MO_OS_UnitedStatesCanadaemployees">'Supplemental Data'!$19:$19</definedName>
    <definedName name="z_NVC8NN0168_MO_OS_UnitedStatesCanadaEOPpaidstreamingmemberships">Model!$50:$50</definedName>
    <definedName name="z_NVC8NN0168_MO_OS_UnitedStatesCanadaEOPPaidStreamingMemberships_1">Model!$144:$144</definedName>
    <definedName name="z_NVC8NN0168_MO_OS_UnitedStatesCanadaEOPPaidStreamingMembershipsmix">Model!$153:$153</definedName>
    <definedName name="z_NVC8NN0168_MO_OS_UnitedStatesCanadaStreamingARPU">Model!$62:$62</definedName>
    <definedName name="z_NVC8NN0168_MO_OS_UnitedStatesCanadaStreamingARPU_1">Model!$177:$177</definedName>
    <definedName name="z_NVC8NN0168_MO_OS_UnitedStatesCanadaStreamingRevenue">Model!$71:$71</definedName>
    <definedName name="z_NVC8NN0168_MO_OS_UnitedStatesCanadaStreamingRevenue_1">Model!$186:$186</definedName>
    <definedName name="z_NVC8NN0168_MO_OS_UnitedStatesCanadaStreamingRevenueMix">Model!$197:$197</definedName>
    <definedName name="z_NVC8NN0168_MO_OS_UnitedStatesDVDARPU">'Supplemental Data'!$74:$74</definedName>
    <definedName name="z_NVC8NN0168_MO_OS_UnitedStatesDVDRevenue">Model!$136:$136</definedName>
    <definedName name="z_NVC8NN0168_MO_OS_UnitedStatesDVDRevenue_1">Model!$24:$24</definedName>
    <definedName name="z_NVC8NN0168_MO_OS_UnitedStatesDVDRevenue_2">Model!$191:$191</definedName>
    <definedName name="z_NVC8NN0168_MO_OS_UnitedStatesDVDRevenueMix">Model!$202:$202</definedName>
    <definedName name="z_NVC8NN0168_MO_OS_UnitedStatesEOPpaidstreamingmemberships">Model!$39:$39</definedName>
    <definedName name="z_NVC8NN0168_MO_OS_UnitedStatesEOPpaidstreamingmemberships_1">Model!$142:$142</definedName>
    <definedName name="z_NVC8NN0168_MO_OS_UnitedStatesEOPpaidstreamingmembershipsmix">Model!$151:$151</definedName>
    <definedName name="z_NVC8NN0168_MO_OS_UnitedStatespaidstreamingmembershipsnetadditions">Model!$42:$42</definedName>
    <definedName name="z_NVC8NN0168_MO_OS_UnitedStatespaidstreamingmembershipsnetadditions_1">Model!$159:$159</definedName>
    <definedName name="z_NVC8NN0168_MO_OS_UnitedStatesStreamingARPU">Model!$58:$58</definedName>
    <definedName name="z_NVC8NN0168_MO_OS_UnitedStatesStreamingARPU_1">Model!$175:$175</definedName>
    <definedName name="z_NVC8NN0168_MO_OS_UnitedStatesStreamingRevenue">Model!$67:$67</definedName>
    <definedName name="z_NVC8NN0168_MO_OS_UnitedStatesstreamingrevenue_1">Model!$184:$184</definedName>
    <definedName name="z_NVC8NN0168_MO_OS_UnitedStatesstreamingrevenuemix">Model!$195:$195</definedName>
    <definedName name="z_NVC8NN0168_MO_OS_YouTubestreamingasofTVtime">Model!$257:$257</definedName>
    <definedName name="z_NVC8NN0168_MO_OS_YYAsiaPacificaveragepayingmembershipsgrowth">Model!$124:$124</definedName>
    <definedName name="z_NVC8NN0168_MO_OS_YYEMEAaveragepayingmembershipsgrowth">Model!$84:$84</definedName>
    <definedName name="z_NVC8NN0168_MO_OS_YYGlobalstreamingconstantcurrencyARPUgrowth">Model!$18:$18</definedName>
    <definedName name="z_NVC8NN0168_MO_OS_YYgrowthinEBIT">Model!$236:$236</definedName>
    <definedName name="z_NVC8NN0168_MO_OS_YYgrowthinGAexpense">Model!$231:$231</definedName>
    <definedName name="z_NVC8NN0168_MO_OS_YYgrowthingrossprofit">Model!$215:$215</definedName>
    <definedName name="z_NVC8NN0168_MO_OS_YYgrowthinRDexpense">Model!$221:$221</definedName>
    <definedName name="z_NVC8NN0168_MO_OS_YYgrowthinSMexpense">Model!$226:$226</definedName>
    <definedName name="z_NVC8NN0168_MO_OS_YYimprovementinEBITMargin">Model!$238:$238</definedName>
    <definedName name="z_NVC8NN0168_MO_OS_YYimprovementinGAMargin">Model!$233:$233</definedName>
    <definedName name="z_NVC8NN0168_MO_OS_YYimprovementinGrossMargin">Model!$218:$218</definedName>
    <definedName name="z_NVC8NN0168_MO_OS_YYimprovementinOtherCOGSMargin">Model!$212:$212</definedName>
    <definedName name="z_NVC8NN0168_MO_OS_YYimprovementinRDMargin">Model!$223:$223</definedName>
    <definedName name="z_NVC8NN0168_MO_OS_YYimprovementinSMMargin">Model!$228:$228</definedName>
    <definedName name="z_NVC8NN0168_MO_OS_YYLatinAmericaaveragepayingmembershipsgrowth">Model!$104:$104</definedName>
    <definedName name="z_NVC8NN0168_MO_OS_YYTotalaveragepayingmembershipsgrowth">Model!$14:$14</definedName>
    <definedName name="z_NVC8NN0168_MO_OS_YYTotalconstantcurrencyrevenuegrowthcalculated">Model!$31:$31</definedName>
    <definedName name="z_NVC8NN0168_MO_OS_YYTotalpaidstreamingmembershipsnetadditionsgrowth">"Deleted"</definedName>
    <definedName name="z_NVC8NN0168_MO_OS_YYUnitedStatesCanadaaveragepayingmembershipsgrowth">Model!$56:$56</definedName>
    <definedName name="z_NVC8NN0168_MO_OS_YYUnitedStatesDVDrevenuegrowth">Model!$26:$26</definedName>
    <definedName name="z_NVC8NN0168_MO_RIS_AdjustedEarningsPerShareWAD">Model!$422:$422</definedName>
    <definedName name="z_NVC8NN0168_MO_RIS_AdjustedEBITDA">Model!$395:$395</definedName>
    <definedName name="z_NVC8NN0168_MO_RIS_AdjustedEBITNoAdjustments">Model!$389:$389</definedName>
    <definedName name="z_NVC8NN0168_MO_RIS_AdjustedNetIncome">Model!$415:$415</definedName>
    <definedName name="z_NVC8NN0168_MO_RIS_AdjustedSharesOutstandingWAD">Model!$427:$427</definedName>
    <definedName name="z_NVC8NN0168_MO_RIS_AdjustmentsforConvertibleSecurities">Model!$411:$411</definedName>
    <definedName name="z_NVC8NN0168_MO_RIS_COGS">Deleted</definedName>
    <definedName name="z_NVC8NN0168_MO_RIS_COGS_1">Model!$382:$382</definedName>
    <definedName name="z_NVC8NN0168_MO_RIS_consensusestimatesadjustedearningspersharewad">Model!$423:$423</definedName>
    <definedName name="z_NVC8NN0168_MO_RIS_ConsensusEstimatesAdjustedEBIT_1">Model!$390:$390</definedName>
    <definedName name="z_NVC8NN0168_MO_RIS_consensusestimatesadjustedebitda">Model!$396:$396</definedName>
    <definedName name="z_NVC8NN0168_MO_RIS_consensusestimatesnetrevenue">Model!$380:$380</definedName>
    <definedName name="z_NVC8NN0168_MO_RIS_Currenttax">Model!$404:$404</definedName>
    <definedName name="z_NVC8NN0168_MO_RIS_Currenttaxrate">Model!$417:$417</definedName>
    <definedName name="z_NVC8NN0168_MO_RIS_DA">Model!$392:$392</definedName>
    <definedName name="z_NVC8NN0168_MO_RIS_Deferredtax">Model!$405:$405</definedName>
    <definedName name="z_NVC8NN0168_MO_RIS_Deferredtaxrate">Model!$418:$418</definedName>
    <definedName name="z_NVC8NN0168_MO_RIS_DilutedNetIncometoCommonShareholders">Model!$412:$412</definedName>
    <definedName name="z_NVC8NN0168_MO_RIS_DiscontinuedOperations">Model!$407:$407</definedName>
    <definedName name="z_NVC8NN0168_MO_RIS_EarningsPerShareWAB">Model!$420:$420</definedName>
    <definedName name="z_NVC8NN0168_MO_RIS_EarningsPerShareWAD">Model!$421:$421</definedName>
    <definedName name="z_NVC8NN0168_MO_RIS_EarningstoPreferredandOtherSecurities">Model!$409:$409</definedName>
    <definedName name="z_NVC8NN0168_MO_RIS_EBIT">Deleted</definedName>
    <definedName name="z_NVC8NN0168_MO_RIS_EBIT_2">Model!$388:$388</definedName>
    <definedName name="z_NVC8NN0168_MO_RIS_EBITDA">Deleted</definedName>
    <definedName name="z_NVC8NN0168_MO_RIS_EBITDA_1">Model!$394:$394</definedName>
    <definedName name="z_NVC8NN0168_MO_RIS_EBT">Model!$402:$402</definedName>
    <definedName name="z_NVC8NN0168_MO_RIS_GA">Model!$387:$387</definedName>
    <definedName name="z_NVC8NN0168_MO_RIS_GrossProfit">Model!$383:$383</definedName>
    <definedName name="z_NVC8NN0168_MO_RIS_Interestexpense">Model!$398:$398</definedName>
    <definedName name="z_NVC8NN0168_MO_RIS_Interestincome">Model!$399:$399</definedName>
    <definedName name="z_NVC8NN0168_MO_RIS_NetIncomefromContinuedOperation">Model!$406:$406</definedName>
    <definedName name="z_NVC8NN0168_MO_RIS_NetIncometoCommonShareholders">Model!$410:$410</definedName>
    <definedName name="z_NVC8NN0168_MO_RIS_NetIncometoNCI">Model!$408:$408</definedName>
    <definedName name="z_NVC8NN0168_MO_RIS_NetRevenue">Model!$379:$379</definedName>
    <definedName name="z_NVC8NN0168_MO_RIS_NonGAAPAdjustments">Model!$413:$413</definedName>
    <definedName name="z_NVC8NN0168_MO_RIS_NonGAAPAdjustmentsforDilutiveSecurities">Model!$414:$414</definedName>
    <definedName name="z_NVC8NN0168_MO_RIS_Onetimeitem">Model!$401:$401</definedName>
    <definedName name="z_NVC8NN0168_MO_RIS_Otheritems">Model!$400:$400</definedName>
    <definedName name="z_NVC8NN0168_MO_RIS_RD">Model!$385:$385</definedName>
    <definedName name="z_NVC8NN0168_MO_RIS_SBC">Model!$393:$393</definedName>
    <definedName name="z_NVC8NN0168_MO_RIS_SharesOutstandingWAB">Model!$425:$425</definedName>
    <definedName name="z_NVC8NN0168_MO_RIS_SharesOutstandingWAD">Model!$426:$426</definedName>
    <definedName name="z_NVC8NN0168_MO_RIS_SM">Model!$386:$386</definedName>
    <definedName name="z_NVC8NN0168_MO_Section_AN_AdjustedNumbers">Model!$353:$353</definedName>
    <definedName name="z_NVC8NN0168_MO_Section_BS_BalanceSheet">Model!$648:$648</definedName>
    <definedName name="z_NVC8NN0168_MO_Section_BSS_BalanceSheetSummary">Model!$452:$452</definedName>
    <definedName name="z_NVC8NN0168_MO_Section_CCFS_CumulativeCashFlowStatement">Model!$493:$493</definedName>
    <definedName name="z_NVC8NN0168_MO_Section_CFS_CashFlowStatement">Model!$553:$553</definedName>
    <definedName name="z_NVC8NN0168_MO_Section_CFSum_CashFlowSummary">Model!$429:$429</definedName>
    <definedName name="z_NVC8NN0168_MO_Section_DAF_DAForecasting">Model!$626:$626</definedName>
    <definedName name="z_NVC8NN0168_MO_Section_IS_IncomeStatement">Model!$333:$333</definedName>
    <definedName name="z_NVC8NN0168_MO_Section_MA_MarginAnalysis">Model!$309:$309</definedName>
    <definedName name="z_NVC8NN0168_MO_Section_MC_ModelChecks">Model!$709:$709</definedName>
    <definedName name="z_NVC8NN0168_MO_Section_OS_Canalyst">'Supplemental Data'!$91:$91</definedName>
    <definedName name="z_NVC8NN0168_MO_Section_OS_KeyMetricsAsiaPacificAPAC">"Deleted"</definedName>
    <definedName name="z_NVC8NN0168_MO_Section_OS_KeyMetricsContentAssetsBreakdownFS">'Supplemental Data'!$82:$82</definedName>
    <definedName name="z_NVC8NN0168_MO_Section_OS_KeyMetricsEurope">"Deleted"</definedName>
    <definedName name="z_NVC8NN0168_MO_Section_OS_KeyMetricsHeadcountFS">'Supplemental Data'!$18:$18</definedName>
    <definedName name="z_NVC8NN0168_MO_Section_OS_KeyMetricsLatinAmericaLATAM">"Deleted"</definedName>
    <definedName name="z_NVC8NN0168_MO_Section_OS_KeyMetricsShareofUSTVTimePR">Model!$255:$255</definedName>
    <definedName name="z_NVC8NN0168_MO_Section_OS_KeyMetricsYYCostGranularityFS">Model!$268:$268</definedName>
    <definedName name="z_NVC8NN0168_MO_Section_OS_OperatingExpenseForecasting">Model!$205:$205</definedName>
    <definedName name="z_NVC8NN0168_MO_Section_OS_OperatingStatsContentLibraryAmortizationSchedule">Model!$240:$240</definedName>
    <definedName name="z_NVC8NN0168_MO_Section_OS_OperatingStatsMembershipsMDA">'Supplemental Data'!$55:$55</definedName>
    <definedName name="z_NVC8NN0168_MO_Section_OS_SegmentedResultsAsiaPacificStreamingFS">Model!$115:$115</definedName>
    <definedName name="z_NVC8NN0168_MO_Section_OS_SegmentedResultsCostsBreakdownFS">'Supplemental Data'!$34:$34</definedName>
    <definedName name="z_NVC8NN0168_MO_Section_OS_SegmentedResultsEMEAStreamingFS">Model!$75:$75</definedName>
    <definedName name="z_NVC8NN0168_MO_Section_OS_SegmentedResultsLatinAmericaStreamingFS">Model!$95:$95</definedName>
    <definedName name="z_NVC8NN0168_MO_Section_OS_SegmentedResultsRevenueBreakdownBasedOnOldSegmentationFSHistorical">'Supplemental Data'!$6:$6</definedName>
    <definedName name="z_NVC8NN0168_MO_Section_OS_SegmentedResultsRevenueBreakdownBasedOnOldSegmentationFSHistorical_1">'Supplemental Data'!$25:$25</definedName>
    <definedName name="z_NVC8NN0168_MO_Section_OS_SegmentedResultsUnitedStatesDVDFS">Model!$135:$135</definedName>
    <definedName name="z_NVC8NN0168_MO_Section_OS_SegmentedResultsUSandCanadaStreamingFS">Model!$38:$38</definedName>
    <definedName name="z_NVC8NN0168_MO_Section_OS_SegmentSummary">Model!$140:$140</definedName>
    <definedName name="z_NVC8NN0168_MO_Section_OS_WorkingCapitalForecasting">Model!$615:$615</definedName>
    <definedName name="z_NVC8NN0168_MO_Section_RIS_RevisedIncomeStatement">Model!$378:$378</definedName>
    <definedName name="z_NVC8NN0168_MO_Section_SNA_Canalyst">Model!$813:$813</definedName>
    <definedName name="z_NVC8NN0168_MO_Section_TB_Tables">Model!$731:$731</definedName>
    <definedName name="z_NVC8NN0168_MO_Section_VA_Valuation">Model!$471:$471</definedName>
    <definedName name="z_NVC8NN0168_MO_Unstructured_SNA_AdjustedEarningsPerShareWAD">Model!$748:$748</definedName>
    <definedName name="z_NVC8NN0168_MO_Unstructured_SNA_AdjustedEBITDA">Model!$746:$746</definedName>
    <definedName name="z_NVC8NN0168_MO_Unstructured_SNA_AdjustedEBITNoAdjustments">Model!$747:$747</definedName>
    <definedName name="z_NVC8NN0168_MO_Unstructured_SNA_Avg">Model!$742:$742</definedName>
    <definedName name="z_NVC8NN0168_MO_Unstructured_SNA_Bloomberg">Model!$770:$770</definedName>
    <definedName name="z_NVC8NN0168_MO_Unstructured_SNA_Bloomberg_1">Model!$777:$777</definedName>
    <definedName name="z_NVC8NN0168_MO_Unstructured_SNA_Bloomberg_2">Model!$784:$784</definedName>
    <definedName name="z_NVC8NN0168_MO_Unstructured_SNA_Bloomberg_3">Model!$791:$791</definedName>
    <definedName name="z_NVC8NN0168_MO_Unstructured_SNA_CapitalIQ">Model!$771:$771</definedName>
    <definedName name="z_NVC8NN0168_MO_Unstructured_SNA_CapitalIQ_1">Model!$778:$778</definedName>
    <definedName name="z_NVC8NN0168_MO_Unstructured_SNA_CapitalIQ_2">Model!$785:$785</definedName>
    <definedName name="z_NVC8NN0168_MO_Unstructured_SNA_CapitalIQ_3">Model!$792:$792</definedName>
    <definedName name="z_NVC8NN0168_MO_Unstructured_SNA_ConsensusEstimatesAdjustedEarningsPerShareWAD">Model!$760:$760</definedName>
    <definedName name="z_NVC8NN0168_MO_Unstructured_SNA_ConsensusEstimatesAdjustedEBIT_1">Model!$759:$759</definedName>
    <definedName name="z_NVC8NN0168_MO_Unstructured_SNA_ConsensusEstimatesAdjustedEBITDA">Model!$758:$758</definedName>
    <definedName name="z_NVC8NN0168_MO_Unstructured_SNA_ConsensusEstimatesCapex">Model!$762:$762</definedName>
    <definedName name="z_NVC8NN0168_MO_Unstructured_SNA_ConsensusEstimatesCashFlowPerDilutedShare">Model!$761:$761</definedName>
    <definedName name="z_NVC8NN0168_MO_Unstructured_SNA_ConsensusEstimatesGrossMargin">Model!$756:$756</definedName>
    <definedName name="z_NVC8NN0168_MO_Unstructured_SNA_ConsensusEstimatesNetRevenue">Model!$757:$757</definedName>
    <definedName name="z_NVC8NN0168_MO_Unstructured_SNA_ConsensusEstimateTable">Model!$753:$753</definedName>
    <definedName name="z_NVC8NN0168_MO_Unstructured_SNA_CurrentFiscalYear">Model!$809:$809</definedName>
    <definedName name="z_NVC8NN0168_MO_Unstructured_SNA_DataSourceIndex">Model!$811:$811</definedName>
    <definedName name="z_NVC8NN0168_MO_Unstructured_SNA_EVEBITDAAvg">Model!$749:$749</definedName>
    <definedName name="z_NVC8NN0168_MO_Unstructured_SNA_FactSet">Model!$772:$772</definedName>
    <definedName name="z_NVC8NN0168_MO_Unstructured_SNA_FactSet_1">Model!$779:$779</definedName>
    <definedName name="z_NVC8NN0168_MO_Unstructured_SNA_FactSet_2">Model!$786:$786</definedName>
    <definedName name="z_NVC8NN0168_MO_Unstructured_SNA_FactSet_3">Model!$793:$793</definedName>
    <definedName name="z_NVC8NN0168_MO_Unstructured_SNA_FirstForecastFiscalYear">Model!$810:$810</definedName>
    <definedName name="z_NVC8NN0168_MO_Unstructured_SNA_FiscalPeriodStartDate">Model!$766:$766</definedName>
    <definedName name="z_NVC8NN0168_MO_Unstructured_SNA_FXAverageRealTimeOffSource">Model!$789:$789</definedName>
    <definedName name="z_NVC8NN0168_MO_Unstructured_SNA_FYorFQ">Model!$754:$754</definedName>
    <definedName name="z_NVC8NN0168_MO_Unstructured_SNA_GeneralTable">Model!$797:$797</definedName>
    <definedName name="z_NVC8NN0168_MO_Unstructured_SNA_High">Model!$740:$740</definedName>
    <definedName name="z_NVC8NN0168_MO_Unstructured_SNA_IsHistoricalPeriod">Model!$767:$767</definedName>
    <definedName name="z_NVC8NN0168_MO_Unstructured_SNA_KeyOutputs">Model!$744:$744</definedName>
    <definedName name="z_NVC8NN0168_MO_Unstructured_SNA_LastPrice">Model!$798:$798</definedName>
    <definedName name="z_NVC8NN0168_MO_Unstructured_SNA_LastPriceDate">Model!$799:$799</definedName>
    <definedName name="z_NVC8NN0168_MO_Unstructured_SNA_LastPriceFormula">Model!$801:$801</definedName>
    <definedName name="z_NVC8NN0168_MO_Unstructured_SNA_Low">Model!$741:$741</definedName>
    <definedName name="z_NVC8NN0168_MO_Unstructured_SNA_ModelSheetCurrencyHardcoded">Model!$804:$804</definedName>
    <definedName name="z_NVC8NN0168_MO_Unstructured_SNA_MostRecentFiscalPeriodMRFP">Model!$808:$808</definedName>
    <definedName name="z_NVC8NN0168_MO_Unstructured_SNA_MostRecentFX">Model!$805:$805</definedName>
    <definedName name="z_NVC8NN0168_MO_Unstructured_SNA_MostRecentFXHardcoded">Model!$806:$806</definedName>
    <definedName name="z_NVC8NN0168_MO_Unstructured_SNA_MRFPColumnNumber">Model!$807:$807</definedName>
    <definedName name="z_NVC8NN0168_MO_Unstructured_SNA_NASDAQNFLX">Model!$735:$735</definedName>
    <definedName name="z_NVC8NN0168_MO_Unstructured_SNA_NetRevenue">Model!$745:$745</definedName>
    <definedName name="z_NVC8NN0168_MO_Unstructured_SNA_NFLXOQ">Model!$737:$737</definedName>
    <definedName name="z_NVC8NN0168_MO_Unstructured_SNA_NFLXUS">Model!$734:$734</definedName>
    <definedName name="z_NVC8NN0168_MO_Unstructured_SNA_NFLXUS_1">Model!$736:$736</definedName>
    <definedName name="z_NVC8NN0168_MO_Unstructured_SNA_PEAvg">Model!$750:$750</definedName>
    <definedName name="z_NVC8NN0168_MO_Unstructured_SNA_Period">Model!$755:$755</definedName>
    <definedName name="z_NVC8NN0168_MO_Unstructured_SNA_RealTimeOffSource">Model!$769:$769</definedName>
    <definedName name="z_NVC8NN0168_MO_Unstructured_SNA_RealTimeOffSource_1">Model!$776:$776</definedName>
    <definedName name="z_NVC8NN0168_MO_Unstructured_SNA_RealTimeOffSource_2">Model!$783:$783</definedName>
    <definedName name="z_NVC8NN0168_MO_Unstructured_SNA_RealTimeOffSource_3">Model!$790:$790</definedName>
    <definedName name="z_NVC8NN0168_MO_Unstructured_SNA_RealTimeStockPrice">Model!$800:$800</definedName>
    <definedName name="z_NVC8NN0168_MO_Unstructured_SNA_Refinitiv">Model!$773:$773</definedName>
    <definedName name="z_NVC8NN0168_MO_Unstructured_SNA_Refinitiv_1">Model!$780:$780</definedName>
    <definedName name="z_NVC8NN0168_MO_Unstructured_SNA_Refinitiv_2">Model!$787:$787</definedName>
    <definedName name="z_NVC8NN0168_MO_Unstructured_SNA_Refinitiv_3">Model!$794:$794</definedName>
    <definedName name="z_NVC8NN0168_MO_Unstructured_SNA_StockAverageRealTimeOffSource">Model!$782:$782</definedName>
    <definedName name="z_NVC8NN0168_MO_Unstructured_SNA_StockHighRealTimeOffSource">Model!$768:$768</definedName>
    <definedName name="z_NVC8NN0168_MO_Unstructured_SNA_StockLowRealTimeOffSource">Model!$775:$775</definedName>
    <definedName name="z_NVC8NN0168_MO_Unstructured_SNA_StockPriceTable">Model!$765:$765</definedName>
    <definedName name="z_NVC8NN0168_MO_Unstructured_SNA_TickerSymbol">Model!$733:$733</definedName>
    <definedName name="z_NVC8NN0168_MO_Unstructured_SNA_TradeCurrency">Model!$802:$802</definedName>
    <definedName name="z_NVC8NN0168_MO_Unstructured_SNA_TradeCurrencyHardcoded">Model!$803:$803</definedName>
    <definedName name="z_NVC8NN0168_MO_Unstructured_SNA_ValuationToggleTable">Model!$739:$739</definedName>
    <definedName name="z_NVC8NN0168_MO_VA_EnterpriseValueAverage">Model!$474:$474</definedName>
    <definedName name="z_NVC8NN0168_MO_VA_EnterpriseValueAvg">"Deleted"</definedName>
    <definedName name="z_NVC8NN0168_MO_VA_enterprisevaluecomponents">Model!$488:$488</definedName>
    <definedName name="z_NVC8NN0168_MO_VA_EnterpriseValueHigh">"Deleted"</definedName>
    <definedName name="z_NVC8NN0168_MO_VA_EnterpriseValueLow">"Deleted"</definedName>
    <definedName name="z_NVC8NN0168_MO_VA_EVEBITDAAverage">Model!$477:$477</definedName>
    <definedName name="z_NVC8NN0168_MO_VA_FCFYieldtoAverageEnterpriseValue">Model!$480:$480</definedName>
    <definedName name="z_NVC8NN0168_MO_VA_FCFYieldtoAverageMarketCap">Model!$479:$479</definedName>
    <definedName name="z_NVC8NN0168_MO_VA_MarketCapAverage">Model!$473:$473</definedName>
    <definedName name="z_NVC8NN0168_MO_VA_MarketCapAvg">"Deleted"</definedName>
    <definedName name="z_NVC8NN0168_MO_VA_MarketCapHigh">"Deleted"</definedName>
    <definedName name="z_NVC8NN0168_MO_VA_MarketCapLow">"Deleted"</definedName>
    <definedName name="z_NVC8NN0168_MO_VA_NoncontrollingInterest">Model!$489:$489</definedName>
    <definedName name="z_NVC8NN0168_MO_VA_OtherEVComponents">Model!$491:$491</definedName>
    <definedName name="z_NVC8NN0168_MO_VA_PCFAverage">Model!$478:$478</definedName>
    <definedName name="z_NVC8NN0168_MO_VA_PEAverage">Model!$476:$476</definedName>
    <definedName name="z_NVC8NN0168_MO_VA_PreferredShares">Model!$490:$490</definedName>
    <definedName name="z_NVC8NN0168_MO_VA_StockAvg">Model!$484:$484</definedName>
    <definedName name="z_NVC8NN0168_MO_VA_StockHigh">Model!$482:$482</definedName>
    <definedName name="z_NVC8NN0168_MO_VA_StockLow">Model!$483:$483</definedName>
    <definedName name="z_NVC8NN0168_MO_VA_StockPriceAverage">Model!$472:$472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7" l="1"/>
  <c r="H8" i="8"/>
  <c r="H7" i="8"/>
  <c r="F7" i="8"/>
  <c r="A127" i="9"/>
  <c r="A126" i="9"/>
  <c r="A125" i="9"/>
  <c r="A124" i="9"/>
  <c r="A123" i="9"/>
  <c r="I112" i="9"/>
  <c r="H112" i="9"/>
  <c r="G112" i="9"/>
  <c r="I106" i="9"/>
  <c r="H106" i="9"/>
  <c r="G106" i="9"/>
  <c r="BG82" i="9"/>
  <c r="BF82" i="9"/>
  <c r="BE82" i="9"/>
  <c r="BC82" i="9"/>
  <c r="BB82" i="9"/>
  <c r="BA82" i="9"/>
  <c r="AZ82" i="9"/>
  <c r="AX82" i="9"/>
  <c r="AW82" i="9"/>
  <c r="AV82" i="9"/>
  <c r="AU82" i="9"/>
  <c r="AS82" i="9"/>
  <c r="AR82" i="9"/>
  <c r="AQ82" i="9"/>
  <c r="AP82" i="9"/>
  <c r="AN82" i="9"/>
  <c r="AM82" i="9"/>
  <c r="AL82" i="9"/>
  <c r="AK82" i="9"/>
  <c r="AI82" i="9"/>
  <c r="AH82" i="9"/>
  <c r="AG82" i="9"/>
  <c r="AF82" i="9"/>
  <c r="AD82" i="9"/>
  <c r="AC82" i="9"/>
  <c r="AB82" i="9"/>
  <c r="AA82" i="9"/>
  <c r="Y82" i="9"/>
  <c r="X82" i="9"/>
  <c r="W82" i="9"/>
  <c r="V82" i="9"/>
  <c r="T82" i="9"/>
  <c r="S82" i="9"/>
  <c r="R82" i="9"/>
  <c r="Q82" i="9"/>
  <c r="O82" i="9"/>
  <c r="N82" i="9"/>
  <c r="M82" i="9"/>
  <c r="L82" i="9"/>
  <c r="J82" i="9"/>
  <c r="I82" i="9"/>
  <c r="H82" i="9"/>
  <c r="G82" i="9"/>
  <c r="F82" i="9"/>
  <c r="E82" i="9"/>
  <c r="D82" i="9"/>
  <c r="C82" i="9"/>
  <c r="BG77" i="9"/>
  <c r="BF77" i="9"/>
  <c r="BE77" i="9"/>
  <c r="BC77" i="9"/>
  <c r="BB77" i="9"/>
  <c r="BA77" i="9"/>
  <c r="AZ77" i="9"/>
  <c r="AX77" i="9"/>
  <c r="BG76" i="9"/>
  <c r="BF76" i="9"/>
  <c r="BE76" i="9"/>
  <c r="BC76" i="9"/>
  <c r="BB76" i="9"/>
  <c r="BA76" i="9"/>
  <c r="AZ76" i="9"/>
  <c r="AX76" i="9"/>
  <c r="BG75" i="9"/>
  <c r="BF75" i="9"/>
  <c r="BE75" i="9"/>
  <c r="BC75" i="9"/>
  <c r="BB75" i="9"/>
  <c r="BA75" i="9"/>
  <c r="AZ75" i="9"/>
  <c r="AX75" i="9"/>
  <c r="BG73" i="9"/>
  <c r="BF73" i="9"/>
  <c r="BE73" i="9"/>
  <c r="BC73" i="9"/>
  <c r="BB73" i="9"/>
  <c r="BA73" i="9"/>
  <c r="AZ73" i="9"/>
  <c r="AX73" i="9"/>
  <c r="A73" i="9"/>
  <c r="BG72" i="9"/>
  <c r="BF72" i="9"/>
  <c r="BE72" i="9"/>
  <c r="BC72" i="9"/>
  <c r="BB72" i="9"/>
  <c r="BA72" i="9"/>
  <c r="AZ72" i="9"/>
  <c r="AX72" i="9"/>
  <c r="A72" i="9"/>
  <c r="A70" i="9"/>
  <c r="BG68" i="9"/>
  <c r="BF68" i="9"/>
  <c r="BE68" i="9"/>
  <c r="BC68" i="9"/>
  <c r="BB68" i="9"/>
  <c r="BA68" i="9"/>
  <c r="AZ68" i="9"/>
  <c r="AX68" i="9"/>
  <c r="A68" i="9"/>
  <c r="A67" i="9"/>
  <c r="A63" i="9"/>
  <c r="A61" i="9"/>
  <c r="A60" i="9"/>
  <c r="A59" i="9"/>
  <c r="A58" i="9"/>
  <c r="A57" i="9"/>
  <c r="A54" i="9"/>
  <c r="A53" i="9"/>
  <c r="A47" i="9"/>
  <c r="BG46" i="9"/>
  <c r="BF46" i="9"/>
  <c r="BE46" i="9"/>
  <c r="BC46" i="9"/>
  <c r="BB46" i="9"/>
  <c r="BA46" i="9"/>
  <c r="AZ46" i="9"/>
  <c r="AX46" i="9"/>
  <c r="AW46" i="9"/>
  <c r="AV46" i="9"/>
  <c r="AU46" i="9"/>
  <c r="AT46" i="9"/>
  <c r="AS46" i="9"/>
  <c r="AR46" i="9"/>
  <c r="AQ46" i="9"/>
  <c r="AP46" i="9"/>
  <c r="AO46" i="9"/>
  <c r="AN46" i="9"/>
  <c r="AM46" i="9"/>
  <c r="AL46" i="9"/>
  <c r="AK46" i="9"/>
  <c r="AJ46" i="9"/>
  <c r="AI46" i="9"/>
  <c r="AH46" i="9"/>
  <c r="AG46" i="9"/>
  <c r="AF46" i="9"/>
  <c r="AE46" i="9"/>
  <c r="AD46" i="9"/>
  <c r="AC46" i="9"/>
  <c r="AB46" i="9"/>
  <c r="AA46" i="9"/>
  <c r="Z46" i="9"/>
  <c r="Y46" i="9"/>
  <c r="X46" i="9"/>
  <c r="W46" i="9"/>
  <c r="V46" i="9"/>
  <c r="U46" i="9"/>
  <c r="T46" i="9"/>
  <c r="S46" i="9"/>
  <c r="R46" i="9"/>
  <c r="Q46" i="9"/>
  <c r="P46" i="9"/>
  <c r="O46" i="9"/>
  <c r="N46" i="9"/>
  <c r="M46" i="9"/>
  <c r="L46" i="9"/>
  <c r="K46" i="9"/>
  <c r="J46" i="9"/>
  <c r="I46" i="9"/>
  <c r="H46" i="9"/>
  <c r="G46" i="9"/>
  <c r="F46" i="9"/>
  <c r="E46" i="9"/>
  <c r="D46" i="9"/>
  <c r="C46" i="9"/>
  <c r="A46" i="9"/>
  <c r="BG45" i="9"/>
  <c r="BF45" i="9"/>
  <c r="BE45" i="9"/>
  <c r="BC45" i="9"/>
  <c r="BB45" i="9"/>
  <c r="BA45" i="9"/>
  <c r="AZ45" i="9"/>
  <c r="AX45" i="9"/>
  <c r="AW45" i="9"/>
  <c r="AV45" i="9"/>
  <c r="AU45" i="9"/>
  <c r="AT45" i="9"/>
  <c r="AS45" i="9"/>
  <c r="AR45" i="9"/>
  <c r="AQ45" i="9"/>
  <c r="AP45" i="9"/>
  <c r="AO45" i="9"/>
  <c r="AN45" i="9"/>
  <c r="AM45" i="9"/>
  <c r="AL45" i="9"/>
  <c r="AK45" i="9"/>
  <c r="AJ45" i="9"/>
  <c r="AI45" i="9"/>
  <c r="AH45" i="9"/>
  <c r="AG45" i="9"/>
  <c r="AF45" i="9"/>
  <c r="AE45" i="9"/>
  <c r="AD45" i="9"/>
  <c r="AC45" i="9"/>
  <c r="AB45" i="9"/>
  <c r="AA45" i="9"/>
  <c r="Z45" i="9"/>
  <c r="Y45" i="9"/>
  <c r="X45" i="9"/>
  <c r="W45" i="9"/>
  <c r="V45" i="9"/>
  <c r="U45" i="9"/>
  <c r="T45" i="9"/>
  <c r="S45" i="9"/>
  <c r="R45" i="9"/>
  <c r="Q45" i="9"/>
  <c r="P45" i="9"/>
  <c r="O45" i="9"/>
  <c r="N45" i="9"/>
  <c r="M45" i="9"/>
  <c r="L45" i="9"/>
  <c r="K45" i="9"/>
  <c r="J45" i="9"/>
  <c r="I45" i="9"/>
  <c r="H45" i="9"/>
  <c r="G45" i="9"/>
  <c r="F45" i="9"/>
  <c r="E45" i="9"/>
  <c r="D45" i="9"/>
  <c r="C45" i="9"/>
  <c r="A45" i="9"/>
  <c r="BG44" i="9"/>
  <c r="BF44" i="9"/>
  <c r="BE44" i="9"/>
  <c r="BC44" i="9"/>
  <c r="BB44" i="9"/>
  <c r="BA44" i="9"/>
  <c r="AZ44" i="9"/>
  <c r="AX44" i="9"/>
  <c r="AW44" i="9"/>
  <c r="AV44" i="9"/>
  <c r="AU44" i="9"/>
  <c r="AT44" i="9"/>
  <c r="AS44" i="9"/>
  <c r="AR44" i="9"/>
  <c r="AQ44" i="9"/>
  <c r="AP44" i="9"/>
  <c r="AO44" i="9"/>
  <c r="AN44" i="9"/>
  <c r="AM44" i="9"/>
  <c r="AL44" i="9"/>
  <c r="AK44" i="9"/>
  <c r="AJ44" i="9"/>
  <c r="AI44" i="9"/>
  <c r="AH44" i="9"/>
  <c r="AG44" i="9"/>
  <c r="AF44" i="9"/>
  <c r="AE44" i="9"/>
  <c r="AD44" i="9"/>
  <c r="AC44" i="9"/>
  <c r="AB44" i="9"/>
  <c r="AA44" i="9"/>
  <c r="Z44" i="9"/>
  <c r="Y44" i="9"/>
  <c r="X44" i="9"/>
  <c r="W44" i="9"/>
  <c r="V44" i="9"/>
  <c r="U44" i="9"/>
  <c r="T44" i="9"/>
  <c r="S44" i="9"/>
  <c r="R44" i="9"/>
  <c r="Q44" i="9"/>
  <c r="P44" i="9"/>
  <c r="O44" i="9"/>
  <c r="N44" i="9"/>
  <c r="M44" i="9"/>
  <c r="L44" i="9"/>
  <c r="K44" i="9"/>
  <c r="J44" i="9"/>
  <c r="I44" i="9"/>
  <c r="H44" i="9"/>
  <c r="G44" i="9"/>
  <c r="F44" i="9"/>
  <c r="E44" i="9"/>
  <c r="D44" i="9"/>
  <c r="C44" i="9"/>
  <c r="A44" i="9"/>
  <c r="A42" i="9"/>
  <c r="BG41" i="9"/>
  <c r="BF41" i="9"/>
  <c r="BE41" i="9"/>
  <c r="BC41" i="9"/>
  <c r="BB41" i="9"/>
  <c r="BA41" i="9"/>
  <c r="AZ41" i="9"/>
  <c r="AX41" i="9"/>
  <c r="A40" i="9"/>
  <c r="A39" i="9"/>
  <c r="A38" i="9"/>
  <c r="A37" i="9"/>
  <c r="A36" i="9"/>
  <c r="A35" i="9"/>
  <c r="A34" i="9"/>
  <c r="AE31" i="9"/>
  <c r="AD31" i="9"/>
  <c r="AC31" i="9"/>
  <c r="AB31" i="9"/>
  <c r="AA31" i="9"/>
  <c r="Z31" i="9"/>
  <c r="Y31" i="9"/>
  <c r="X31" i="9"/>
  <c r="W31" i="9"/>
  <c r="V31" i="9"/>
  <c r="U31" i="9"/>
  <c r="T31" i="9"/>
  <c r="S31" i="9"/>
  <c r="R31" i="9"/>
  <c r="Q31" i="9"/>
  <c r="P31" i="9"/>
  <c r="O31" i="9"/>
  <c r="N31" i="9"/>
  <c r="M31" i="9"/>
  <c r="L31" i="9"/>
  <c r="K31" i="9"/>
  <c r="J31" i="9"/>
  <c r="I31" i="9"/>
  <c r="H31" i="9"/>
  <c r="G31" i="9"/>
  <c r="F31" i="9"/>
  <c r="E31" i="9"/>
  <c r="D31" i="9"/>
  <c r="C31" i="9"/>
  <c r="A31" i="9"/>
  <c r="BG30" i="9"/>
  <c r="BF30" i="9"/>
  <c r="BE30" i="9"/>
  <c r="BD30" i="9"/>
  <c r="BC30" i="9"/>
  <c r="BB30" i="9"/>
  <c r="BA30" i="9"/>
  <c r="AZ30" i="9"/>
  <c r="AY30" i="9"/>
  <c r="AX30" i="9"/>
  <c r="AW30" i="9"/>
  <c r="AV30" i="9"/>
  <c r="AU30" i="9"/>
  <c r="AT30" i="9"/>
  <c r="AS30" i="9"/>
  <c r="AR30" i="9"/>
  <c r="AQ30" i="9"/>
  <c r="AP30" i="9"/>
  <c r="AO30" i="9"/>
  <c r="AN30" i="9"/>
  <c r="AM30" i="9"/>
  <c r="AL30" i="9"/>
  <c r="AK30" i="9"/>
  <c r="AJ30" i="9"/>
  <c r="AI30" i="9"/>
  <c r="AH30" i="9"/>
  <c r="AG30" i="9"/>
  <c r="AF30" i="9"/>
  <c r="AE30" i="9"/>
  <c r="AD30" i="9"/>
  <c r="AC30" i="9"/>
  <c r="AB30" i="9"/>
  <c r="AA30" i="9"/>
  <c r="Z30" i="9"/>
  <c r="Y30" i="9"/>
  <c r="X30" i="9"/>
  <c r="W30" i="9"/>
  <c r="V30" i="9"/>
  <c r="U30" i="9"/>
  <c r="T30" i="9"/>
  <c r="S30" i="9"/>
  <c r="R30" i="9"/>
  <c r="Q30" i="9"/>
  <c r="P30" i="9"/>
  <c r="O30" i="9"/>
  <c r="N30" i="9"/>
  <c r="M30" i="9"/>
  <c r="L30" i="9"/>
  <c r="K30" i="9"/>
  <c r="J30" i="9"/>
  <c r="I30" i="9"/>
  <c r="H30" i="9"/>
  <c r="G30" i="9"/>
  <c r="F30" i="9"/>
  <c r="E30" i="9"/>
  <c r="D30" i="9"/>
  <c r="C30" i="9"/>
  <c r="A30" i="9"/>
  <c r="BG29" i="9"/>
  <c r="BF29" i="9"/>
  <c r="BE29" i="9"/>
  <c r="BD29" i="9"/>
  <c r="AY29" i="9"/>
  <c r="AT29" i="9"/>
  <c r="AO29" i="9"/>
  <c r="AJ29" i="9"/>
  <c r="AE29" i="9"/>
  <c r="AA29" i="9"/>
  <c r="Z29" i="9"/>
  <c r="Y29" i="9"/>
  <c r="X29" i="9"/>
  <c r="W29" i="9"/>
  <c r="V29" i="9"/>
  <c r="U29" i="9"/>
  <c r="T29" i="9"/>
  <c r="S29" i="9"/>
  <c r="R29" i="9"/>
  <c r="Q29" i="9"/>
  <c r="P29" i="9"/>
  <c r="O29" i="9"/>
  <c r="N29" i="9"/>
  <c r="M29" i="9"/>
  <c r="L29" i="9"/>
  <c r="K29" i="9"/>
  <c r="J29" i="9"/>
  <c r="I29" i="9"/>
  <c r="H29" i="9"/>
  <c r="G29" i="9"/>
  <c r="F29" i="9"/>
  <c r="E29" i="9"/>
  <c r="D29" i="9"/>
  <c r="C29" i="9"/>
  <c r="A29" i="9"/>
  <c r="J27" i="9"/>
  <c r="I27" i="9"/>
  <c r="H27" i="9"/>
  <c r="G27" i="9"/>
  <c r="F27" i="9"/>
  <c r="E27" i="9"/>
  <c r="D27" i="9"/>
  <c r="C27" i="9"/>
  <c r="A27" i="9"/>
  <c r="BG26" i="9"/>
  <c r="BF26" i="9"/>
  <c r="BE26" i="9"/>
  <c r="AE26" i="9"/>
  <c r="AD26" i="9"/>
  <c r="AC26" i="9"/>
  <c r="AB26" i="9"/>
  <c r="AA26" i="9"/>
  <c r="Z26" i="9"/>
  <c r="Y26" i="9"/>
  <c r="X26" i="9"/>
  <c r="W26" i="9"/>
  <c r="V26" i="9"/>
  <c r="U26" i="9"/>
  <c r="T26" i="9"/>
  <c r="S26" i="9"/>
  <c r="R26" i="9"/>
  <c r="Q26" i="9"/>
  <c r="P26" i="9"/>
  <c r="O26" i="9"/>
  <c r="N26" i="9"/>
  <c r="M26" i="9"/>
  <c r="L26" i="9"/>
  <c r="K26" i="9"/>
  <c r="J26" i="9"/>
  <c r="I26" i="9"/>
  <c r="H26" i="9"/>
  <c r="G26" i="9"/>
  <c r="F26" i="9"/>
  <c r="E26" i="9"/>
  <c r="D26" i="9"/>
  <c r="C26" i="9"/>
  <c r="A26" i="9"/>
  <c r="BG25" i="9"/>
  <c r="BF25" i="9"/>
  <c r="BE25" i="9"/>
  <c r="AE25" i="9"/>
  <c r="AD25" i="9"/>
  <c r="AC25" i="9"/>
  <c r="AB25" i="9"/>
  <c r="AA25" i="9"/>
  <c r="Z25" i="9"/>
  <c r="Y25" i="9"/>
  <c r="X25" i="9"/>
  <c r="W25" i="9"/>
  <c r="V25" i="9"/>
  <c r="U25" i="9"/>
  <c r="T25" i="9"/>
  <c r="S25" i="9"/>
  <c r="R25" i="9"/>
  <c r="Q25" i="9"/>
  <c r="P25" i="9"/>
  <c r="O25" i="9"/>
  <c r="N25" i="9"/>
  <c r="M25" i="9"/>
  <c r="L25" i="9"/>
  <c r="K25" i="9"/>
  <c r="J25" i="9"/>
  <c r="I25" i="9"/>
  <c r="H25" i="9"/>
  <c r="G25" i="9"/>
  <c r="F25" i="9"/>
  <c r="E25" i="9"/>
  <c r="D25" i="9"/>
  <c r="C25" i="9"/>
  <c r="A25" i="9"/>
  <c r="BG24" i="9"/>
  <c r="BF24" i="9"/>
  <c r="BE24" i="9"/>
  <c r="AE24" i="9"/>
  <c r="AD24" i="9"/>
  <c r="AC24" i="9"/>
  <c r="AB24" i="9"/>
  <c r="AA24" i="9"/>
  <c r="Z24" i="9"/>
  <c r="Y24" i="9"/>
  <c r="X24" i="9"/>
  <c r="W24" i="9"/>
  <c r="V24" i="9"/>
  <c r="U24" i="9"/>
  <c r="T24" i="9"/>
  <c r="S24" i="9"/>
  <c r="R24" i="9"/>
  <c r="Q24" i="9"/>
  <c r="P24" i="9"/>
  <c r="O24" i="9"/>
  <c r="N24" i="9"/>
  <c r="M24" i="9"/>
  <c r="L24" i="9"/>
  <c r="K24" i="9"/>
  <c r="J24" i="9"/>
  <c r="I24" i="9"/>
  <c r="H24" i="9"/>
  <c r="G24" i="9"/>
  <c r="F24" i="9"/>
  <c r="E24" i="9"/>
  <c r="D24" i="9"/>
  <c r="C24" i="9"/>
  <c r="A24" i="9"/>
  <c r="BG23" i="9"/>
  <c r="BF23" i="9"/>
  <c r="BE23" i="9"/>
  <c r="AE23" i="9"/>
  <c r="AD23" i="9"/>
  <c r="AC23" i="9"/>
  <c r="AB23" i="9"/>
  <c r="AA23" i="9"/>
  <c r="Z23" i="9"/>
  <c r="Y23" i="9"/>
  <c r="X23" i="9"/>
  <c r="W23" i="9"/>
  <c r="V23" i="9"/>
  <c r="U23" i="9"/>
  <c r="T23" i="9"/>
  <c r="S23" i="9"/>
  <c r="R23" i="9"/>
  <c r="Q23" i="9"/>
  <c r="P23" i="9"/>
  <c r="O23" i="9"/>
  <c r="N23" i="9"/>
  <c r="M23" i="9"/>
  <c r="L23" i="9"/>
  <c r="K23" i="9"/>
  <c r="J23" i="9"/>
  <c r="I23" i="9"/>
  <c r="H23" i="9"/>
  <c r="G23" i="9"/>
  <c r="F23" i="9"/>
  <c r="E23" i="9"/>
  <c r="D23" i="9"/>
  <c r="C23" i="9"/>
  <c r="A23" i="9"/>
  <c r="BG21" i="9"/>
  <c r="BF21" i="9"/>
  <c r="BE21" i="9"/>
  <c r="BD21" i="9"/>
  <c r="BC21" i="9"/>
  <c r="BB21" i="9"/>
  <c r="BA21" i="9"/>
  <c r="AZ21" i="9"/>
  <c r="AY21" i="9"/>
  <c r="AX21" i="9"/>
  <c r="AJ21" i="9"/>
  <c r="AI21" i="9"/>
  <c r="AH21" i="9"/>
  <c r="AG21" i="9"/>
  <c r="AF21" i="9"/>
  <c r="AE21" i="9"/>
  <c r="AD21" i="9"/>
  <c r="AC21" i="9"/>
  <c r="AB21" i="9"/>
  <c r="AA21" i="9"/>
  <c r="Z21" i="9"/>
  <c r="Y21" i="9"/>
  <c r="X21" i="9"/>
  <c r="W21" i="9"/>
  <c r="V21" i="9"/>
  <c r="U21" i="9"/>
  <c r="T21" i="9"/>
  <c r="S21" i="9"/>
  <c r="R21" i="9"/>
  <c r="Q21" i="9"/>
  <c r="P21" i="9"/>
  <c r="O21" i="9"/>
  <c r="N21" i="9"/>
  <c r="M21" i="9"/>
  <c r="L21" i="9"/>
  <c r="K21" i="9"/>
  <c r="J21" i="9"/>
  <c r="I21" i="9"/>
  <c r="H21" i="9"/>
  <c r="G21" i="9"/>
  <c r="F21" i="9"/>
  <c r="E21" i="9"/>
  <c r="D21" i="9"/>
  <c r="C21" i="9"/>
  <c r="A21" i="9"/>
  <c r="J20" i="9"/>
  <c r="I20" i="9"/>
  <c r="H20" i="9"/>
  <c r="G20" i="9"/>
  <c r="C20" i="9"/>
  <c r="A20" i="9"/>
  <c r="J19" i="9"/>
  <c r="I19" i="9"/>
  <c r="H19" i="9"/>
  <c r="G19" i="9"/>
  <c r="F19" i="9"/>
  <c r="E19" i="9"/>
  <c r="D19" i="9"/>
  <c r="C19" i="9"/>
  <c r="A19" i="9"/>
  <c r="J18" i="9"/>
  <c r="I18" i="9"/>
  <c r="H18" i="9"/>
  <c r="G18" i="9"/>
  <c r="F18" i="9"/>
  <c r="E18" i="9"/>
  <c r="D18" i="9"/>
  <c r="C18" i="9"/>
  <c r="A18" i="9"/>
  <c r="AE17" i="9"/>
  <c r="AD17" i="9"/>
  <c r="AC17" i="9"/>
  <c r="AB17" i="9"/>
  <c r="AA17" i="9"/>
  <c r="Z17" i="9"/>
  <c r="Y17" i="9"/>
  <c r="X17" i="9"/>
  <c r="W17" i="9"/>
  <c r="V17" i="9"/>
  <c r="U17" i="9"/>
  <c r="T17" i="9"/>
  <c r="S17" i="9"/>
  <c r="R17" i="9"/>
  <c r="Q17" i="9"/>
  <c r="P17" i="9"/>
  <c r="O17" i="9"/>
  <c r="N17" i="9"/>
  <c r="M17" i="9"/>
  <c r="L17" i="9"/>
  <c r="K17" i="9"/>
  <c r="J17" i="9"/>
  <c r="I17" i="9"/>
  <c r="H17" i="9"/>
  <c r="G17" i="9"/>
  <c r="F17" i="9"/>
  <c r="E17" i="9"/>
  <c r="D17" i="9"/>
  <c r="C17" i="9"/>
  <c r="A17" i="9"/>
  <c r="AE16" i="9"/>
  <c r="AD16" i="9"/>
  <c r="AC16" i="9"/>
  <c r="AB16" i="9"/>
  <c r="AA16" i="9"/>
  <c r="Z16" i="9"/>
  <c r="Y16" i="9"/>
  <c r="X16" i="9"/>
  <c r="W16" i="9"/>
  <c r="V16" i="9"/>
  <c r="U16" i="9"/>
  <c r="T16" i="9"/>
  <c r="S16" i="9"/>
  <c r="R16" i="9"/>
  <c r="Q16" i="9"/>
  <c r="P16" i="9"/>
  <c r="O16" i="9"/>
  <c r="N16" i="9"/>
  <c r="M16" i="9"/>
  <c r="L16" i="9"/>
  <c r="K16" i="9"/>
  <c r="J16" i="9"/>
  <c r="I16" i="9"/>
  <c r="H16" i="9"/>
  <c r="G16" i="9"/>
  <c r="F16" i="9"/>
  <c r="E16" i="9"/>
  <c r="D16" i="9"/>
  <c r="C16" i="9"/>
  <c r="A16" i="9"/>
  <c r="AE15" i="9"/>
  <c r="AD15" i="9"/>
  <c r="AC15" i="9"/>
  <c r="AB15" i="9"/>
  <c r="AA15" i="9"/>
  <c r="Z15" i="9"/>
  <c r="Y15" i="9"/>
  <c r="X15" i="9"/>
  <c r="W15" i="9"/>
  <c r="V15" i="9"/>
  <c r="U15" i="9"/>
  <c r="T15" i="9"/>
  <c r="S15" i="9"/>
  <c r="R15" i="9"/>
  <c r="Q15" i="9"/>
  <c r="P15" i="9"/>
  <c r="O15" i="9"/>
  <c r="N15" i="9"/>
  <c r="M15" i="9"/>
  <c r="L15" i="9"/>
  <c r="K15" i="9"/>
  <c r="J15" i="9"/>
  <c r="I15" i="9"/>
  <c r="H15" i="9"/>
  <c r="G15" i="9"/>
  <c r="F15" i="9"/>
  <c r="E15" i="9"/>
  <c r="D15" i="9"/>
  <c r="C15" i="9"/>
  <c r="A15" i="9"/>
  <c r="AE14" i="9"/>
  <c r="AD14" i="9"/>
  <c r="AC14" i="9"/>
  <c r="AB14" i="9"/>
  <c r="AA14" i="9"/>
  <c r="Z14" i="9"/>
  <c r="Y14" i="9"/>
  <c r="X14" i="9"/>
  <c r="W14" i="9"/>
  <c r="V14" i="9"/>
  <c r="U14" i="9"/>
  <c r="T14" i="9"/>
  <c r="S14" i="9"/>
  <c r="R14" i="9"/>
  <c r="Q14" i="9"/>
  <c r="P14" i="9"/>
  <c r="O14" i="9"/>
  <c r="N14" i="9"/>
  <c r="M14" i="9"/>
  <c r="L14" i="9"/>
  <c r="K14" i="9"/>
  <c r="J14" i="9"/>
  <c r="I14" i="9"/>
  <c r="H14" i="9"/>
  <c r="G14" i="9"/>
  <c r="F14" i="9"/>
  <c r="E14" i="9"/>
  <c r="D14" i="9"/>
  <c r="C14" i="9"/>
  <c r="A14" i="9"/>
  <c r="A11" i="9"/>
  <c r="A8" i="9"/>
  <c r="A7" i="9"/>
  <c r="A6" i="9"/>
  <c r="A5" i="9"/>
  <c r="A4" i="9"/>
  <c r="C2" i="9"/>
  <c r="C1" i="9"/>
  <c r="A1" i="9"/>
  <c r="J211" i="10"/>
  <c r="J209" i="10"/>
  <c r="J208" i="10"/>
  <c r="J207" i="10"/>
  <c r="J206" i="10"/>
  <c r="J204" i="10"/>
  <c r="J203" i="10"/>
  <c r="J202" i="10"/>
  <c r="J200" i="10"/>
  <c r="J199" i="10"/>
  <c r="J197" i="10"/>
  <c r="J196" i="10"/>
  <c r="J195" i="10"/>
  <c r="J194" i="10"/>
  <c r="J193" i="10"/>
  <c r="J192" i="10"/>
  <c r="J191" i="10"/>
  <c r="J190" i="10"/>
  <c r="J189" i="10"/>
  <c r="J188" i="10"/>
  <c r="J187" i="10"/>
  <c r="J186" i="10"/>
  <c r="J185" i="10"/>
  <c r="J184" i="10"/>
  <c r="J183" i="10"/>
  <c r="J182" i="10"/>
  <c r="J181" i="10"/>
  <c r="J180" i="10"/>
  <c r="J179" i="10"/>
  <c r="J178" i="10"/>
  <c r="J176" i="10"/>
  <c r="J175" i="10"/>
  <c r="J174" i="10"/>
  <c r="J173" i="10"/>
  <c r="J172" i="10"/>
  <c r="J171" i="10"/>
  <c r="J170" i="10"/>
  <c r="J169" i="10"/>
  <c r="J168" i="10"/>
  <c r="J167" i="10"/>
  <c r="J166" i="10"/>
  <c r="J165" i="10"/>
  <c r="J164" i="10"/>
  <c r="J163" i="10"/>
  <c r="J162" i="10"/>
  <c r="J161" i="10"/>
  <c r="J160" i="10"/>
  <c r="J159" i="10"/>
  <c r="J157" i="10"/>
  <c r="J156" i="10"/>
  <c r="J155" i="10"/>
  <c r="J154" i="10"/>
  <c r="J153" i="10"/>
  <c r="J152" i="10"/>
  <c r="J151" i="10"/>
  <c r="J150" i="10"/>
  <c r="J149" i="10"/>
  <c r="J148" i="10"/>
  <c r="J147" i="10"/>
  <c r="J146" i="10"/>
  <c r="J145" i="10"/>
  <c r="J144" i="10"/>
  <c r="J143" i="10"/>
  <c r="J142" i="10"/>
  <c r="J141" i="10"/>
  <c r="J139" i="10"/>
  <c r="J138" i="10"/>
  <c r="J137" i="10"/>
  <c r="J136" i="10"/>
  <c r="J135" i="10"/>
  <c r="J134" i="10"/>
  <c r="J133" i="10"/>
  <c r="J132" i="10"/>
  <c r="J131" i="10"/>
  <c r="J130" i="10"/>
  <c r="J129" i="10"/>
  <c r="J128" i="10"/>
  <c r="J127" i="10"/>
  <c r="J126" i="10"/>
  <c r="J125" i="10"/>
  <c r="J124" i="10"/>
  <c r="J123" i="10"/>
  <c r="J121" i="10"/>
  <c r="J120" i="10"/>
  <c r="J119" i="10"/>
  <c r="J118" i="10"/>
  <c r="J117" i="10"/>
  <c r="J116" i="10"/>
  <c r="J115" i="10"/>
  <c r="J114" i="10"/>
  <c r="J113" i="10"/>
  <c r="J112" i="10"/>
  <c r="J111" i="10"/>
  <c r="J110" i="10"/>
  <c r="J109" i="10"/>
  <c r="J108" i="10"/>
  <c r="J107" i="10"/>
  <c r="J106" i="10"/>
  <c r="J104" i="10"/>
  <c r="J103" i="10"/>
  <c r="J102" i="10"/>
  <c r="J101" i="10"/>
  <c r="J100" i="10"/>
  <c r="J99" i="10"/>
  <c r="J98" i="10"/>
  <c r="J97" i="10"/>
  <c r="J96" i="10"/>
  <c r="J95" i="10"/>
  <c r="J94" i="10"/>
  <c r="J93" i="10"/>
  <c r="J92" i="10"/>
  <c r="J91" i="10"/>
  <c r="J90" i="10"/>
  <c r="J89" i="10"/>
  <c r="J87" i="10"/>
  <c r="J85" i="10"/>
  <c r="J83" i="10"/>
  <c r="J82" i="10"/>
  <c r="J81" i="10"/>
  <c r="J80" i="10"/>
  <c r="J79" i="10"/>
  <c r="J78" i="10"/>
  <c r="J77" i="10"/>
  <c r="J75" i="10"/>
  <c r="J73" i="10"/>
  <c r="J72" i="10"/>
  <c r="J71" i="10"/>
  <c r="J70" i="10"/>
  <c r="J69" i="10"/>
  <c r="J68" i="10"/>
  <c r="J67" i="10"/>
  <c r="J66" i="10"/>
  <c r="J64" i="10"/>
  <c r="J63" i="10"/>
  <c r="J62" i="10"/>
  <c r="J61" i="10"/>
  <c r="J60" i="10"/>
  <c r="J59" i="10"/>
  <c r="J58" i="10"/>
  <c r="J57" i="10"/>
  <c r="J55" i="10"/>
  <c r="J54" i="10"/>
  <c r="J53" i="10"/>
  <c r="J52" i="10"/>
  <c r="J51" i="10"/>
  <c r="J50" i="10"/>
  <c r="J49" i="10"/>
  <c r="J48" i="10"/>
  <c r="J46" i="10"/>
  <c r="J44" i="10"/>
  <c r="J42" i="10"/>
  <c r="J41" i="10"/>
  <c r="J40" i="10"/>
  <c r="J39" i="10"/>
  <c r="J38" i="10"/>
  <c r="J37" i="10"/>
  <c r="J36" i="10"/>
  <c r="J35" i="10"/>
  <c r="J33" i="10"/>
  <c r="J32" i="10"/>
  <c r="J31" i="10"/>
  <c r="J30" i="10"/>
  <c r="J29" i="10"/>
  <c r="J28" i="10"/>
  <c r="J27" i="10"/>
  <c r="J26" i="10"/>
  <c r="J24" i="10"/>
  <c r="J23" i="10"/>
  <c r="J22" i="10"/>
  <c r="J21" i="10"/>
  <c r="J20" i="10"/>
  <c r="J19" i="10"/>
  <c r="J18" i="10"/>
  <c r="J17" i="10"/>
  <c r="J15" i="10"/>
  <c r="J14" i="10"/>
  <c r="J13" i="10"/>
  <c r="J12" i="10"/>
  <c r="J11" i="10"/>
  <c r="J10" i="10"/>
  <c r="J9" i="10"/>
  <c r="J8" i="10"/>
  <c r="J6" i="10"/>
  <c r="F2" i="10"/>
  <c r="B1" i="10"/>
  <c r="AI88" i="11"/>
  <c r="AD88" i="11"/>
  <c r="Y88" i="11"/>
  <c r="AJ87" i="11"/>
  <c r="AJ89" i="11" s="1"/>
  <c r="AH87" i="11"/>
  <c r="AH89" i="11" s="1"/>
  <c r="AG87" i="11"/>
  <c r="AG89" i="11" s="1"/>
  <c r="AF87" i="11"/>
  <c r="AF89" i="11" s="1"/>
  <c r="AE87" i="11"/>
  <c r="AE89" i="11" s="1"/>
  <c r="AC87" i="11"/>
  <c r="AC89" i="11" s="1"/>
  <c r="AB87" i="11"/>
  <c r="AB89" i="11" s="1"/>
  <c r="AA87" i="11"/>
  <c r="AA89" i="11" s="1"/>
  <c r="Z87" i="11"/>
  <c r="Z89" i="11" s="1"/>
  <c r="X87" i="11"/>
  <c r="X89" i="11" s="1"/>
  <c r="W87" i="11"/>
  <c r="W89" i="11" s="1"/>
  <c r="V87" i="11"/>
  <c r="V89" i="11" s="1"/>
  <c r="U87" i="11"/>
  <c r="U89" i="11" s="1"/>
  <c r="AI86" i="11"/>
  <c r="AD86" i="11"/>
  <c r="Y86" i="11"/>
  <c r="AI85" i="11"/>
  <c r="AD85" i="11"/>
  <c r="Y85" i="11"/>
  <c r="AI84" i="11"/>
  <c r="AI87" i="11" s="1"/>
  <c r="AI89" i="11" s="1"/>
  <c r="AD84" i="11"/>
  <c r="AD87" i="11" s="1"/>
  <c r="AD89" i="11" s="1"/>
  <c r="Y84" i="11"/>
  <c r="Y87" i="11" s="1"/>
  <c r="Y89" i="11" s="1"/>
  <c r="AI83" i="11"/>
  <c r="AD83" i="11"/>
  <c r="Y83" i="11"/>
  <c r="AN80" i="11"/>
  <c r="AM80" i="11"/>
  <c r="AL80" i="11"/>
  <c r="AK80" i="11"/>
  <c r="AI80" i="11"/>
  <c r="AH80" i="11"/>
  <c r="AG80" i="11"/>
  <c r="AF80" i="11"/>
  <c r="AE80" i="11"/>
  <c r="AO79" i="11"/>
  <c r="AJ79" i="11"/>
  <c r="AO78" i="11"/>
  <c r="AJ78" i="11"/>
  <c r="AO77" i="11"/>
  <c r="AO80" i="11" s="1"/>
  <c r="AJ77" i="11"/>
  <c r="AJ80" i="11" s="1"/>
  <c r="AN71" i="11"/>
  <c r="AI71" i="11"/>
  <c r="AD71" i="11"/>
  <c r="Y71" i="11"/>
  <c r="O71" i="11"/>
  <c r="J71" i="11"/>
  <c r="AO69" i="11"/>
  <c r="AO72" i="11" s="1"/>
  <c r="AN69" i="11"/>
  <c r="AN72" i="11" s="1"/>
  <c r="AM69" i="11"/>
  <c r="AM70" i="11" s="1"/>
  <c r="AL69" i="11"/>
  <c r="AL72" i="11" s="1"/>
  <c r="AL74" i="11" s="1"/>
  <c r="AK69" i="11"/>
  <c r="AK72" i="11" s="1"/>
  <c r="AK74" i="11" s="1"/>
  <c r="AJ69" i="11"/>
  <c r="AJ72" i="11" s="1"/>
  <c r="AI69" i="11"/>
  <c r="AI70" i="11" s="1"/>
  <c r="AH69" i="11"/>
  <c r="AH72" i="11" s="1"/>
  <c r="AH74" i="11" s="1"/>
  <c r="AG69" i="11"/>
  <c r="AG72" i="11" s="1"/>
  <c r="AG74" i="11" s="1"/>
  <c r="AG75" i="11" s="1"/>
  <c r="AF69" i="11"/>
  <c r="AF72" i="11" s="1"/>
  <c r="AF74" i="11" s="1"/>
  <c r="AE69" i="11"/>
  <c r="AE70" i="11" s="1"/>
  <c r="AD69" i="11"/>
  <c r="AD72" i="11" s="1"/>
  <c r="AC69" i="11"/>
  <c r="AC72" i="11" s="1"/>
  <c r="AC74" i="11" s="1"/>
  <c r="AC75" i="11" s="1"/>
  <c r="AB69" i="11"/>
  <c r="AB72" i="11" s="1"/>
  <c r="AB74" i="11" s="1"/>
  <c r="AA69" i="11"/>
  <c r="AA70" i="11" s="1"/>
  <c r="Z69" i="11"/>
  <c r="Z72" i="11" s="1"/>
  <c r="Y69" i="11"/>
  <c r="Y72" i="11" s="1"/>
  <c r="X69" i="11"/>
  <c r="X72" i="11" s="1"/>
  <c r="X74" i="11" s="1"/>
  <c r="W69" i="11"/>
  <c r="W70" i="11" s="1"/>
  <c r="V69" i="11"/>
  <c r="V72" i="11" s="1"/>
  <c r="V74" i="11" s="1"/>
  <c r="U69" i="11"/>
  <c r="U72" i="11" s="1"/>
  <c r="T69" i="11"/>
  <c r="T72" i="11" s="1"/>
  <c r="S69" i="11"/>
  <c r="S70" i="11" s="1"/>
  <c r="R69" i="11"/>
  <c r="R72" i="11" s="1"/>
  <c r="R74" i="11" s="1"/>
  <c r="Q69" i="11"/>
  <c r="Q72" i="11" s="1"/>
  <c r="Q74" i="11" s="1"/>
  <c r="P69" i="11"/>
  <c r="P72" i="11" s="1"/>
  <c r="O69" i="11"/>
  <c r="O70" i="11" s="1"/>
  <c r="N69" i="11"/>
  <c r="N72" i="11" s="1"/>
  <c r="N74" i="11" s="1"/>
  <c r="M69" i="11"/>
  <c r="M72" i="11" s="1"/>
  <c r="M74" i="11" s="1"/>
  <c r="M75" i="11" s="1"/>
  <c r="L69" i="11"/>
  <c r="L72" i="11" s="1"/>
  <c r="L74" i="11" s="1"/>
  <c r="K69" i="11"/>
  <c r="K70" i="11" s="1"/>
  <c r="J69" i="11"/>
  <c r="J72" i="11" s="1"/>
  <c r="I69" i="11"/>
  <c r="I72" i="11" s="1"/>
  <c r="I74" i="11" s="1"/>
  <c r="H69" i="11"/>
  <c r="H72" i="11" s="1"/>
  <c r="H74" i="11" s="1"/>
  <c r="G69" i="11"/>
  <c r="G70" i="11" s="1"/>
  <c r="F66" i="11"/>
  <c r="AN63" i="11"/>
  <c r="AI63" i="11"/>
  <c r="AD63" i="11"/>
  <c r="Y63" i="11"/>
  <c r="O63" i="11"/>
  <c r="J63" i="11"/>
  <c r="AO61" i="11"/>
  <c r="AO62" i="11" s="1"/>
  <c r="AN61" i="11"/>
  <c r="AN64" i="11" s="1"/>
  <c r="AM61" i="11"/>
  <c r="AM64" i="11" s="1"/>
  <c r="AM66" i="11" s="1"/>
  <c r="AM67" i="11" s="1"/>
  <c r="AL61" i="11"/>
  <c r="AL64" i="11" s="1"/>
  <c r="AL66" i="11" s="1"/>
  <c r="AK61" i="11"/>
  <c r="AK62" i="11" s="1"/>
  <c r="AJ61" i="11"/>
  <c r="AJ64" i="11" s="1"/>
  <c r="AJ66" i="11" s="1"/>
  <c r="AI61" i="11"/>
  <c r="AI64" i="11" s="1"/>
  <c r="AH61" i="11"/>
  <c r="AH64" i="11" s="1"/>
  <c r="AH66" i="11" s="1"/>
  <c r="AG61" i="11"/>
  <c r="AG62" i="11" s="1"/>
  <c r="AF61" i="11"/>
  <c r="AF64" i="11" s="1"/>
  <c r="AF66" i="11" s="1"/>
  <c r="AE61" i="11"/>
  <c r="AE64" i="11" s="1"/>
  <c r="AE66" i="11" s="1"/>
  <c r="AE67" i="11" s="1"/>
  <c r="AD61" i="11"/>
  <c r="AD64" i="11" s="1"/>
  <c r="AC61" i="11"/>
  <c r="AC62" i="11" s="1"/>
  <c r="AB61" i="11"/>
  <c r="AB64" i="11" s="1"/>
  <c r="AB66" i="11" s="1"/>
  <c r="AA61" i="11"/>
  <c r="AA64" i="11" s="1"/>
  <c r="AA66" i="11" s="1"/>
  <c r="AA67" i="11" s="1"/>
  <c r="Z61" i="11"/>
  <c r="Z64" i="11" s="1"/>
  <c r="Z66" i="11" s="1"/>
  <c r="Y61" i="11"/>
  <c r="Y62" i="11" s="1"/>
  <c r="X61" i="11"/>
  <c r="X64" i="11" s="1"/>
  <c r="X66" i="11" s="1"/>
  <c r="W61" i="11"/>
  <c r="W64" i="11" s="1"/>
  <c r="W66" i="11" s="1"/>
  <c r="W67" i="11" s="1"/>
  <c r="V61" i="11"/>
  <c r="V64" i="11" s="1"/>
  <c r="V66" i="11" s="1"/>
  <c r="U61" i="11"/>
  <c r="U62" i="11" s="1"/>
  <c r="T61" i="11"/>
  <c r="T64" i="11" s="1"/>
  <c r="S61" i="11"/>
  <c r="S64" i="11" s="1"/>
  <c r="S66" i="11" s="1"/>
  <c r="S67" i="11" s="1"/>
  <c r="R61" i="11"/>
  <c r="R64" i="11" s="1"/>
  <c r="R66" i="11" s="1"/>
  <c r="Q61" i="11"/>
  <c r="Q62" i="11" s="1"/>
  <c r="P61" i="11"/>
  <c r="P64" i="11" s="1"/>
  <c r="P66" i="11" s="1"/>
  <c r="O61" i="11"/>
  <c r="O64" i="11" s="1"/>
  <c r="N61" i="11"/>
  <c r="N64" i="11" s="1"/>
  <c r="N66" i="11" s="1"/>
  <c r="M61" i="11"/>
  <c r="M62" i="11" s="1"/>
  <c r="L61" i="11"/>
  <c r="L64" i="11" s="1"/>
  <c r="L66" i="11" s="1"/>
  <c r="K61" i="11"/>
  <c r="K64" i="11" s="1"/>
  <c r="K66" i="11" s="1"/>
  <c r="K67" i="11" s="1"/>
  <c r="J61" i="11"/>
  <c r="J64" i="11" s="1"/>
  <c r="I61" i="11"/>
  <c r="I62" i="11" s="1"/>
  <c r="H61" i="11"/>
  <c r="H64" i="11" s="1"/>
  <c r="H66" i="11" s="1"/>
  <c r="G61" i="11"/>
  <c r="G64" i="11" s="1"/>
  <c r="G66" i="11" s="1"/>
  <c r="AN58" i="11"/>
  <c r="AN57" i="11" s="1"/>
  <c r="AI58" i="11"/>
  <c r="AI57" i="11" s="1"/>
  <c r="AD58" i="11"/>
  <c r="Y58" i="11"/>
  <c r="O58" i="11"/>
  <c r="J58" i="11"/>
  <c r="AL57" i="11"/>
  <c r="AH57" i="11"/>
  <c r="AD57" i="11"/>
  <c r="Z57" i="11"/>
  <c r="V57" i="11"/>
  <c r="R57" i="11"/>
  <c r="N57" i="11"/>
  <c r="J57" i="11"/>
  <c r="AO56" i="11"/>
  <c r="AO59" i="11" s="1"/>
  <c r="AN56" i="11"/>
  <c r="AN59" i="11" s="1"/>
  <c r="AM56" i="11"/>
  <c r="AM59" i="11" s="1"/>
  <c r="AL56" i="11"/>
  <c r="AL59" i="11" s="1"/>
  <c r="AK56" i="11"/>
  <c r="AK59" i="11" s="1"/>
  <c r="AJ56" i="11"/>
  <c r="AJ59" i="11" s="1"/>
  <c r="AI56" i="11"/>
  <c r="AH56" i="11"/>
  <c r="AH59" i="11" s="1"/>
  <c r="AG56" i="11"/>
  <c r="AG59" i="11" s="1"/>
  <c r="AF56" i="11"/>
  <c r="AF59" i="11" s="1"/>
  <c r="AE56" i="11"/>
  <c r="AE59" i="11" s="1"/>
  <c r="AD56" i="11"/>
  <c r="AC56" i="11"/>
  <c r="AC59" i="11" s="1"/>
  <c r="AB56" i="11"/>
  <c r="AB59" i="11" s="1"/>
  <c r="AA56" i="11"/>
  <c r="AA59" i="11" s="1"/>
  <c r="Z56" i="11"/>
  <c r="Z59" i="11" s="1"/>
  <c r="Y56" i="11"/>
  <c r="Y59" i="11" s="1"/>
  <c r="X56" i="11"/>
  <c r="X59" i="11" s="1"/>
  <c r="W56" i="11"/>
  <c r="W59" i="11" s="1"/>
  <c r="V56" i="11"/>
  <c r="V59" i="11" s="1"/>
  <c r="U56" i="11"/>
  <c r="U59" i="11" s="1"/>
  <c r="T56" i="11"/>
  <c r="T59" i="11" s="1"/>
  <c r="S56" i="11"/>
  <c r="S59" i="11" s="1"/>
  <c r="R56" i="11"/>
  <c r="R59" i="11" s="1"/>
  <c r="Q56" i="11"/>
  <c r="Q59" i="11" s="1"/>
  <c r="P56" i="11"/>
  <c r="P59" i="11" s="1"/>
  <c r="O56" i="11"/>
  <c r="O59" i="11" s="1"/>
  <c r="N56" i="11"/>
  <c r="N59" i="11" s="1"/>
  <c r="M56" i="11"/>
  <c r="M59" i="11" s="1"/>
  <c r="L56" i="11"/>
  <c r="L59" i="11" s="1"/>
  <c r="K56" i="11"/>
  <c r="K59" i="11" s="1"/>
  <c r="J56" i="11"/>
  <c r="J59" i="11" s="1"/>
  <c r="I56" i="11"/>
  <c r="I59" i="11" s="1"/>
  <c r="H56" i="11"/>
  <c r="H59" i="11" s="1"/>
  <c r="G56" i="11"/>
  <c r="G59" i="11" s="1"/>
  <c r="AM47" i="11"/>
  <c r="AM52" i="11" s="1"/>
  <c r="AL47" i="11"/>
  <c r="AL52" i="11" s="1"/>
  <c r="AK47" i="11"/>
  <c r="AK52" i="11" s="1"/>
  <c r="AJ47" i="11"/>
  <c r="AJ52" i="11" s="1"/>
  <c r="AH47" i="11"/>
  <c r="AH52" i="11" s="1"/>
  <c r="AG47" i="11"/>
  <c r="AG52" i="11" s="1"/>
  <c r="AF47" i="11"/>
  <c r="AF52" i="11" s="1"/>
  <c r="AE47" i="11"/>
  <c r="AE52" i="11" s="1"/>
  <c r="AC47" i="11"/>
  <c r="AC52" i="11" s="1"/>
  <c r="AB47" i="11"/>
  <c r="AB52" i="11" s="1"/>
  <c r="AA47" i="11"/>
  <c r="AA52" i="11" s="1"/>
  <c r="Z47" i="11"/>
  <c r="Z52" i="11" s="1"/>
  <c r="X47" i="11"/>
  <c r="X52" i="11" s="1"/>
  <c r="W47" i="11"/>
  <c r="W52" i="11" s="1"/>
  <c r="V47" i="11"/>
  <c r="V52" i="11" s="1"/>
  <c r="U47" i="11"/>
  <c r="U52" i="11" s="1"/>
  <c r="S47" i="11"/>
  <c r="S52" i="11" s="1"/>
  <c r="R47" i="11"/>
  <c r="R52" i="11" s="1"/>
  <c r="Q47" i="11"/>
  <c r="Q52" i="11" s="1"/>
  <c r="P47" i="11"/>
  <c r="P52" i="11" s="1"/>
  <c r="N47" i="11"/>
  <c r="N52" i="11" s="1"/>
  <c r="M47" i="11"/>
  <c r="M52" i="11" s="1"/>
  <c r="L47" i="11"/>
  <c r="L52" i="11" s="1"/>
  <c r="K47" i="11"/>
  <c r="K52" i="11" s="1"/>
  <c r="I47" i="11"/>
  <c r="I52" i="11" s="1"/>
  <c r="H47" i="11"/>
  <c r="H52" i="11" s="1"/>
  <c r="G47" i="11"/>
  <c r="G52" i="11" s="1"/>
  <c r="F47" i="11"/>
  <c r="F52" i="11" s="1"/>
  <c r="AM46" i="11"/>
  <c r="AM51" i="11" s="1"/>
  <c r="AL46" i="11"/>
  <c r="AL51" i="11" s="1"/>
  <c r="AK46" i="11"/>
  <c r="AK51" i="11" s="1"/>
  <c r="AH46" i="11"/>
  <c r="AH51" i="11" s="1"/>
  <c r="AG46" i="11"/>
  <c r="AG51" i="11" s="1"/>
  <c r="AF46" i="11"/>
  <c r="AF51" i="11" s="1"/>
  <c r="AE46" i="11"/>
  <c r="AE51" i="11" s="1"/>
  <c r="AC46" i="11"/>
  <c r="AC51" i="11" s="1"/>
  <c r="AB46" i="11"/>
  <c r="AB51" i="11" s="1"/>
  <c r="AA46" i="11"/>
  <c r="AA51" i="11" s="1"/>
  <c r="Z46" i="11"/>
  <c r="Z51" i="11" s="1"/>
  <c r="X46" i="11"/>
  <c r="X51" i="11" s="1"/>
  <c r="W46" i="11"/>
  <c r="W51" i="11" s="1"/>
  <c r="V46" i="11"/>
  <c r="V51" i="11" s="1"/>
  <c r="U46" i="11"/>
  <c r="U51" i="11" s="1"/>
  <c r="S46" i="11"/>
  <c r="S51" i="11" s="1"/>
  <c r="R46" i="11"/>
  <c r="R51" i="11" s="1"/>
  <c r="Q46" i="11"/>
  <c r="Q51" i="11" s="1"/>
  <c r="P46" i="11"/>
  <c r="P51" i="11" s="1"/>
  <c r="N46" i="11"/>
  <c r="N51" i="11" s="1"/>
  <c r="M46" i="11"/>
  <c r="M51" i="11" s="1"/>
  <c r="L46" i="11"/>
  <c r="L51" i="11" s="1"/>
  <c r="K46" i="11"/>
  <c r="K51" i="11" s="1"/>
  <c r="I46" i="11"/>
  <c r="I51" i="11" s="1"/>
  <c r="H46" i="11"/>
  <c r="H51" i="11" s="1"/>
  <c r="G46" i="11"/>
  <c r="G51" i="11" s="1"/>
  <c r="F46" i="11"/>
  <c r="F51" i="11" s="1"/>
  <c r="AM45" i="11"/>
  <c r="AM50" i="11" s="1"/>
  <c r="AL45" i="11"/>
  <c r="AL50" i="11" s="1"/>
  <c r="AK45" i="11"/>
  <c r="AK50" i="11" s="1"/>
  <c r="AH45" i="11"/>
  <c r="AH50" i="11" s="1"/>
  <c r="AG45" i="11"/>
  <c r="AG50" i="11" s="1"/>
  <c r="AF45" i="11"/>
  <c r="AF50" i="11" s="1"/>
  <c r="AE45" i="11"/>
  <c r="AE50" i="11" s="1"/>
  <c r="AC45" i="11"/>
  <c r="AC50" i="11" s="1"/>
  <c r="AB45" i="11"/>
  <c r="AB50" i="11" s="1"/>
  <c r="AA45" i="11"/>
  <c r="AA50" i="11" s="1"/>
  <c r="Z45" i="11"/>
  <c r="Z50" i="11" s="1"/>
  <c r="X45" i="11"/>
  <c r="X50" i="11" s="1"/>
  <c r="W45" i="11"/>
  <c r="W50" i="11" s="1"/>
  <c r="V45" i="11"/>
  <c r="V50" i="11" s="1"/>
  <c r="U45" i="11"/>
  <c r="U50" i="11" s="1"/>
  <c r="S45" i="11"/>
  <c r="S50" i="11" s="1"/>
  <c r="R45" i="11"/>
  <c r="R50" i="11" s="1"/>
  <c r="Q45" i="11"/>
  <c r="Q50" i="11" s="1"/>
  <c r="P45" i="11"/>
  <c r="P50" i="11" s="1"/>
  <c r="N45" i="11"/>
  <c r="N50" i="11" s="1"/>
  <c r="M45" i="11"/>
  <c r="M50" i="11" s="1"/>
  <c r="L45" i="11"/>
  <c r="L50" i="11" s="1"/>
  <c r="K45" i="11"/>
  <c r="K50" i="11" s="1"/>
  <c r="I45" i="11"/>
  <c r="I50" i="11" s="1"/>
  <c r="H45" i="11"/>
  <c r="H50" i="11" s="1"/>
  <c r="G45" i="11"/>
  <c r="G50" i="11" s="1"/>
  <c r="F45" i="11"/>
  <c r="F50" i="11" s="1"/>
  <c r="AN43" i="11"/>
  <c r="AM43" i="11"/>
  <c r="AL43" i="11"/>
  <c r="AK43" i="11"/>
  <c r="AJ43" i="11"/>
  <c r="AI43" i="11"/>
  <c r="AH43" i="11"/>
  <c r="AG43" i="11"/>
  <c r="AF43" i="11"/>
  <c r="AE43" i="11"/>
  <c r="AC43" i="11"/>
  <c r="AB43" i="11"/>
  <c r="AA43" i="11"/>
  <c r="Z43" i="11"/>
  <c r="X43" i="11"/>
  <c r="W43" i="11"/>
  <c r="V43" i="11"/>
  <c r="U43" i="11"/>
  <c r="T43" i="11"/>
  <c r="S43" i="11"/>
  <c r="R43" i="11"/>
  <c r="Q43" i="11"/>
  <c r="P43" i="11"/>
  <c r="N43" i="11"/>
  <c r="M43" i="11"/>
  <c r="L43" i="11"/>
  <c r="K43" i="11"/>
  <c r="I43" i="11"/>
  <c r="H43" i="11"/>
  <c r="G43" i="11"/>
  <c r="F43" i="11"/>
  <c r="AD42" i="11"/>
  <c r="AD43" i="11" s="1"/>
  <c r="Y42" i="11"/>
  <c r="Y43" i="11" s="1"/>
  <c r="T42" i="11"/>
  <c r="O42" i="11"/>
  <c r="J42" i="11"/>
  <c r="AO41" i="11"/>
  <c r="T41" i="11"/>
  <c r="O41" i="11"/>
  <c r="J41" i="11"/>
  <c r="AO40" i="11"/>
  <c r="AO43" i="11" s="1"/>
  <c r="T40" i="11"/>
  <c r="O40" i="11"/>
  <c r="O43" i="11" s="1"/>
  <c r="J40" i="11"/>
  <c r="J43" i="11" s="1"/>
  <c r="AN38" i="11"/>
  <c r="AM38" i="11"/>
  <c r="AL38" i="11"/>
  <c r="AK38" i="11"/>
  <c r="AI38" i="11"/>
  <c r="AH38" i="11"/>
  <c r="AG38" i="11"/>
  <c r="AF38" i="11"/>
  <c r="AE38" i="11"/>
  <c r="AC38" i="11"/>
  <c r="AB38" i="11"/>
  <c r="AA38" i="11"/>
  <c r="Z38" i="11"/>
  <c r="Y38" i="11"/>
  <c r="X38" i="11"/>
  <c r="W38" i="11"/>
  <c r="V38" i="11"/>
  <c r="U38" i="11"/>
  <c r="S38" i="11"/>
  <c r="R38" i="11"/>
  <c r="Q38" i="11"/>
  <c r="P38" i="11"/>
  <c r="N38" i="11"/>
  <c r="M38" i="11"/>
  <c r="L38" i="11"/>
  <c r="K38" i="11"/>
  <c r="I38" i="11"/>
  <c r="H38" i="11"/>
  <c r="G38" i="11"/>
  <c r="F38" i="11"/>
  <c r="AO37" i="11"/>
  <c r="AO38" i="11" s="1"/>
  <c r="AD37" i="11"/>
  <c r="AD38" i="11" s="1"/>
  <c r="Y37" i="11"/>
  <c r="T37" i="11"/>
  <c r="O37" i="11"/>
  <c r="J37" i="11"/>
  <c r="AO36" i="11"/>
  <c r="AO46" i="11" s="1"/>
  <c r="AO51" i="11" s="1"/>
  <c r="AJ36" i="11"/>
  <c r="AJ46" i="11" s="1"/>
  <c r="AJ51" i="11" s="1"/>
  <c r="T36" i="11"/>
  <c r="O36" i="11"/>
  <c r="J36" i="11"/>
  <c r="AO35" i="11"/>
  <c r="AO45" i="11" s="1"/>
  <c r="AJ35" i="11"/>
  <c r="AJ45" i="11" s="1"/>
  <c r="T35" i="11"/>
  <c r="T38" i="11" s="1"/>
  <c r="O35" i="11"/>
  <c r="O38" i="11" s="1"/>
  <c r="J35" i="11"/>
  <c r="J38" i="11" s="1"/>
  <c r="AO32" i="11"/>
  <c r="AM32" i="11"/>
  <c r="AL32" i="11"/>
  <c r="AK32" i="11"/>
  <c r="AJ32" i="11"/>
  <c r="AH32" i="11"/>
  <c r="AG32" i="11"/>
  <c r="AF32" i="11"/>
  <c r="AE32" i="11"/>
  <c r="AC32" i="11"/>
  <c r="AB32" i="11"/>
  <c r="AA32" i="11"/>
  <c r="Z32" i="11"/>
  <c r="X32" i="11"/>
  <c r="W32" i="11"/>
  <c r="V32" i="11"/>
  <c r="U32" i="11"/>
  <c r="S32" i="11"/>
  <c r="R32" i="11"/>
  <c r="Q32" i="11"/>
  <c r="P32" i="11"/>
  <c r="N32" i="11"/>
  <c r="M32" i="11"/>
  <c r="L32" i="11"/>
  <c r="K32" i="11"/>
  <c r="I32" i="11"/>
  <c r="H32" i="11"/>
  <c r="G32" i="11"/>
  <c r="F32" i="11"/>
  <c r="AO31" i="11"/>
  <c r="AM31" i="11"/>
  <c r="AL31" i="11"/>
  <c r="AK31" i="11"/>
  <c r="AJ31" i="11"/>
  <c r="AH31" i="11"/>
  <c r="AG31" i="11"/>
  <c r="AF31" i="11"/>
  <c r="AE31" i="11"/>
  <c r="AC31" i="11"/>
  <c r="AB31" i="11"/>
  <c r="AA31" i="11"/>
  <c r="Z31" i="11"/>
  <c r="Y31" i="11"/>
  <c r="X31" i="11"/>
  <c r="W31" i="11"/>
  <c r="V31" i="11"/>
  <c r="U31" i="11"/>
  <c r="S31" i="11"/>
  <c r="R31" i="11"/>
  <c r="Q31" i="11"/>
  <c r="P31" i="11"/>
  <c r="N31" i="11"/>
  <c r="M31" i="11"/>
  <c r="L31" i="11"/>
  <c r="K31" i="11"/>
  <c r="AN30" i="11"/>
  <c r="AN74" i="11" s="1"/>
  <c r="AI30" i="11"/>
  <c r="AI47" i="11" s="1"/>
  <c r="AI52" i="11" s="1"/>
  <c r="AD30" i="11"/>
  <c r="AD74" i="11" s="1"/>
  <c r="AD75" i="11" s="1"/>
  <c r="Y30" i="11"/>
  <c r="Y74" i="11" s="1"/>
  <c r="T30" i="11"/>
  <c r="T74" i="11" s="1"/>
  <c r="O30" i="11"/>
  <c r="O47" i="11" s="1"/>
  <c r="O52" i="11" s="1"/>
  <c r="J30" i="11"/>
  <c r="J74" i="11" s="1"/>
  <c r="AO29" i="11"/>
  <c r="AM29" i="11"/>
  <c r="AL29" i="11"/>
  <c r="AK29" i="11"/>
  <c r="AJ29" i="11"/>
  <c r="AI29" i="11"/>
  <c r="AH29" i="11"/>
  <c r="AG29" i="11"/>
  <c r="AF29" i="11"/>
  <c r="AE29" i="11"/>
  <c r="AC29" i="11"/>
  <c r="AB29" i="11"/>
  <c r="AA29" i="11"/>
  <c r="Z29" i="11"/>
  <c r="X29" i="11"/>
  <c r="W29" i="11"/>
  <c r="V29" i="11"/>
  <c r="U29" i="11"/>
  <c r="S29" i="11"/>
  <c r="R29" i="11"/>
  <c r="Q29" i="11"/>
  <c r="P29" i="11"/>
  <c r="O29" i="11"/>
  <c r="N29" i="11"/>
  <c r="M29" i="11"/>
  <c r="L29" i="11"/>
  <c r="K29" i="11"/>
  <c r="AN28" i="11"/>
  <c r="AN66" i="11" s="1"/>
  <c r="AI28" i="11"/>
  <c r="AI66" i="11" s="1"/>
  <c r="AI67" i="11" s="1"/>
  <c r="AD28" i="11"/>
  <c r="AD66" i="11" s="1"/>
  <c r="Y28" i="11"/>
  <c r="Y29" i="11" s="1"/>
  <c r="T28" i="11"/>
  <c r="T66" i="11" s="1"/>
  <c r="O28" i="11"/>
  <c r="O66" i="11" s="1"/>
  <c r="O67" i="11" s="1"/>
  <c r="J28" i="11"/>
  <c r="J66" i="11" s="1"/>
  <c r="AO27" i="11"/>
  <c r="AM27" i="11"/>
  <c r="AL27" i="11"/>
  <c r="AK27" i="11"/>
  <c r="AJ27" i="11"/>
  <c r="AH27" i="11"/>
  <c r="AG27" i="11"/>
  <c r="AF27" i="11"/>
  <c r="AE27" i="11"/>
  <c r="AC27" i="11"/>
  <c r="AB27" i="11"/>
  <c r="AA27" i="11"/>
  <c r="Z27" i="11"/>
  <c r="X27" i="11"/>
  <c r="W27" i="11"/>
  <c r="V27" i="11"/>
  <c r="U27" i="11"/>
  <c r="S27" i="11"/>
  <c r="R27" i="11"/>
  <c r="Q27" i="11"/>
  <c r="P27" i="11"/>
  <c r="N27" i="11"/>
  <c r="M27" i="11"/>
  <c r="L27" i="11"/>
  <c r="K27" i="11"/>
  <c r="AN26" i="11"/>
  <c r="AN45" i="11" s="1"/>
  <c r="AI26" i="11"/>
  <c r="AI45" i="11" s="1"/>
  <c r="AD26" i="11"/>
  <c r="AD45" i="11" s="1"/>
  <c r="Y26" i="11"/>
  <c r="Y32" i="11" s="1"/>
  <c r="T26" i="11"/>
  <c r="T45" i="11" s="1"/>
  <c r="O26" i="11"/>
  <c r="O45" i="11" s="1"/>
  <c r="J26" i="11"/>
  <c r="J45" i="11" s="1"/>
  <c r="AT23" i="11"/>
  <c r="AW16" i="11"/>
  <c r="AV16" i="11"/>
  <c r="AU16" i="11"/>
  <c r="AT16" i="11"/>
  <c r="AR16" i="11"/>
  <c r="AQ16" i="11"/>
  <c r="AP16" i="11"/>
  <c r="AO16" i="11"/>
  <c r="AM16" i="11"/>
  <c r="AL16" i="11"/>
  <c r="AK16" i="11"/>
  <c r="AJ16" i="11"/>
  <c r="AH16" i="11"/>
  <c r="AG16" i="11"/>
  <c r="AF16" i="11"/>
  <c r="AE16" i="11"/>
  <c r="AC16" i="11"/>
  <c r="AB16" i="11"/>
  <c r="AA16" i="11"/>
  <c r="Z16" i="11"/>
  <c r="X16" i="11"/>
  <c r="W16" i="11"/>
  <c r="V16" i="11"/>
  <c r="U16" i="11"/>
  <c r="S16" i="11"/>
  <c r="R16" i="11"/>
  <c r="Q16" i="11"/>
  <c r="P16" i="11"/>
  <c r="N16" i="11"/>
  <c r="M16" i="11"/>
  <c r="L16" i="11"/>
  <c r="K16" i="11"/>
  <c r="I16" i="11"/>
  <c r="H16" i="11"/>
  <c r="G16" i="11"/>
  <c r="F16" i="11"/>
  <c r="E16" i="11"/>
  <c r="D16" i="11"/>
  <c r="AS15" i="11"/>
  <c r="AN15" i="11"/>
  <c r="AI15" i="11"/>
  <c r="AD15" i="11"/>
  <c r="Y15" i="11"/>
  <c r="T15" i="11"/>
  <c r="O15" i="11"/>
  <c r="J15" i="11"/>
  <c r="AS14" i="11"/>
  <c r="AN14" i="11"/>
  <c r="AI14" i="11"/>
  <c r="AD14" i="11"/>
  <c r="Y14" i="11"/>
  <c r="T14" i="11"/>
  <c r="O14" i="11"/>
  <c r="J14" i="11"/>
  <c r="AS13" i="11"/>
  <c r="AN13" i="11"/>
  <c r="AI13" i="11"/>
  <c r="AD13" i="11"/>
  <c r="Y13" i="11"/>
  <c r="T13" i="11"/>
  <c r="O13" i="11"/>
  <c r="J13" i="11"/>
  <c r="AS12" i="11"/>
  <c r="AS16" i="11" s="1"/>
  <c r="AN12" i="11"/>
  <c r="AN16" i="11" s="1"/>
  <c r="AI12" i="11"/>
  <c r="AI16" i="11" s="1"/>
  <c r="AD12" i="11"/>
  <c r="AD16" i="11" s="1"/>
  <c r="Y12" i="11"/>
  <c r="Y16" i="11" s="1"/>
  <c r="T12" i="11"/>
  <c r="T16" i="11" s="1"/>
  <c r="O12" i="11"/>
  <c r="O16" i="11" s="1"/>
  <c r="J12" i="11"/>
  <c r="J16" i="11" s="1"/>
  <c r="AS10" i="11"/>
  <c r="AN10" i="11"/>
  <c r="AI10" i="11"/>
  <c r="AD10" i="11"/>
  <c r="Y10" i="11"/>
  <c r="T10" i="11"/>
  <c r="O10" i="11"/>
  <c r="J10" i="11"/>
  <c r="AW9" i="11"/>
  <c r="AV8" i="11"/>
  <c r="AU8" i="11"/>
  <c r="AT8" i="11"/>
  <c r="AS8" i="11"/>
  <c r="AR8" i="11"/>
  <c r="AQ8" i="11"/>
  <c r="AP8" i="11"/>
  <c r="AO8" i="11"/>
  <c r="AN8" i="11" s="1"/>
  <c r="AM8" i="11"/>
  <c r="AL8" i="11"/>
  <c r="AK8" i="11"/>
  <c r="AJ8" i="11"/>
  <c r="AI8" i="11"/>
  <c r="AH8" i="11"/>
  <c r="AG8" i="11"/>
  <c r="AF8" i="11"/>
  <c r="AE8" i="11"/>
  <c r="AD8" i="11" s="1"/>
  <c r="AC8" i="11"/>
  <c r="AB8" i="11"/>
  <c r="AA8" i="11"/>
  <c r="Z8" i="11"/>
  <c r="Y8" i="11"/>
  <c r="X8" i="11"/>
  <c r="W8" i="11"/>
  <c r="V8" i="11"/>
  <c r="U8" i="11"/>
  <c r="T8" i="11" s="1"/>
  <c r="S8" i="11"/>
  <c r="R8" i="11"/>
  <c r="Q8" i="11"/>
  <c r="P8" i="11"/>
  <c r="O8" i="11"/>
  <c r="N8" i="11"/>
  <c r="M8" i="11"/>
  <c r="L8" i="11"/>
  <c r="K8" i="11"/>
  <c r="J8" i="11" s="1"/>
  <c r="I8" i="11"/>
  <c r="H8" i="11"/>
  <c r="G8" i="11"/>
  <c r="F8" i="11"/>
  <c r="E8" i="11"/>
  <c r="D8" i="11"/>
  <c r="AV7" i="11"/>
  <c r="AV9" i="11" s="1"/>
  <c r="AU7" i="11"/>
  <c r="AU9" i="11" s="1"/>
  <c r="AT7" i="11"/>
  <c r="AT9" i="11" s="1"/>
  <c r="AS9" i="11" s="1"/>
  <c r="AR7" i="11"/>
  <c r="AR9" i="11" s="1"/>
  <c r="AQ7" i="11"/>
  <c r="AQ9" i="11" s="1"/>
  <c r="AP7" i="11"/>
  <c r="AP9" i="11" s="1"/>
  <c r="AO7" i="11"/>
  <c r="AO9" i="11" s="1"/>
  <c r="AN9" i="11" s="1"/>
  <c r="AN7" i="11"/>
  <c r="AM7" i="11"/>
  <c r="AM9" i="11" s="1"/>
  <c r="AL7" i="11"/>
  <c r="AL9" i="11" s="1"/>
  <c r="AK7" i="11"/>
  <c r="AK9" i="11" s="1"/>
  <c r="AJ7" i="11"/>
  <c r="AI7" i="11" s="1"/>
  <c r="AH7" i="11"/>
  <c r="AH9" i="11" s="1"/>
  <c r="AG7" i="11"/>
  <c r="AG9" i="11" s="1"/>
  <c r="AF7" i="11"/>
  <c r="AF9" i="11" s="1"/>
  <c r="AE7" i="11"/>
  <c r="AE9" i="11" s="1"/>
  <c r="AD9" i="11" s="1"/>
  <c r="AD7" i="11"/>
  <c r="AC7" i="11"/>
  <c r="AC9" i="11" s="1"/>
  <c r="AB7" i="11"/>
  <c r="AB9" i="11" s="1"/>
  <c r="AA7" i="11"/>
  <c r="AA9" i="11" s="1"/>
  <c r="Z7" i="11"/>
  <c r="Z9" i="11" s="1"/>
  <c r="Y9" i="11" s="1"/>
  <c r="X7" i="11"/>
  <c r="X9" i="11" s="1"/>
  <c r="W7" i="11"/>
  <c r="W9" i="11" s="1"/>
  <c r="V7" i="11"/>
  <c r="V9" i="11" s="1"/>
  <c r="U7" i="11"/>
  <c r="U9" i="11" s="1"/>
  <c r="T9" i="11" s="1"/>
  <c r="T7" i="11"/>
  <c r="S7" i="11"/>
  <c r="S9" i="11" s="1"/>
  <c r="R7" i="11"/>
  <c r="R9" i="11" s="1"/>
  <c r="Q7" i="11"/>
  <c r="Q9" i="11" s="1"/>
  <c r="P7" i="11"/>
  <c r="O7" i="11" s="1"/>
  <c r="N7" i="11"/>
  <c r="N9" i="11" s="1"/>
  <c r="M7" i="11"/>
  <c r="M9" i="11" s="1"/>
  <c r="L7" i="11"/>
  <c r="L9" i="11" s="1"/>
  <c r="K7" i="11"/>
  <c r="K9" i="11" s="1"/>
  <c r="J9" i="11" s="1"/>
  <c r="J7" i="11"/>
  <c r="I7" i="11"/>
  <c r="I9" i="11" s="1"/>
  <c r="H7" i="11"/>
  <c r="H9" i="11" s="1"/>
  <c r="G7" i="11"/>
  <c r="G9" i="11" s="1"/>
  <c r="F7" i="11"/>
  <c r="F9" i="11" s="1"/>
  <c r="E7" i="11"/>
  <c r="E9" i="11" s="1"/>
  <c r="D7" i="11"/>
  <c r="D9" i="11" s="1"/>
  <c r="C5" i="11"/>
  <c r="BG2" i="11"/>
  <c r="BF2" i="11"/>
  <c r="BE2" i="11"/>
  <c r="BD2" i="11"/>
  <c r="BC2" i="11"/>
  <c r="BB2" i="11"/>
  <c r="BA2" i="11"/>
  <c r="AZ2" i="11"/>
  <c r="AY2" i="11"/>
  <c r="AX2" i="11"/>
  <c r="AW2" i="11"/>
  <c r="AV2" i="11"/>
  <c r="AU2" i="11"/>
  <c r="AT2" i="11"/>
  <c r="AS2" i="11"/>
  <c r="AR2" i="11"/>
  <c r="AQ2" i="11"/>
  <c r="AP2" i="11"/>
  <c r="AO2" i="11"/>
  <c r="AN2" i="11"/>
  <c r="AM2" i="11"/>
  <c r="AL2" i="11"/>
  <c r="AK2" i="11"/>
  <c r="AJ2" i="11"/>
  <c r="AI2" i="11"/>
  <c r="AH2" i="11"/>
  <c r="AG2" i="11"/>
  <c r="AF2" i="11"/>
  <c r="AE2" i="11"/>
  <c r="AD2" i="11"/>
  <c r="AC2" i="11"/>
  <c r="AB2" i="11"/>
  <c r="AA2" i="11"/>
  <c r="Z2" i="11"/>
  <c r="Y2" i="11"/>
  <c r="X2" i="11"/>
  <c r="W2" i="11"/>
  <c r="V2" i="11"/>
  <c r="U2" i="11"/>
  <c r="T2" i="11"/>
  <c r="S2" i="11"/>
  <c r="R2" i="11"/>
  <c r="Q2" i="11"/>
  <c r="P2" i="11"/>
  <c r="O2" i="11"/>
  <c r="N2" i="11"/>
  <c r="M2" i="11"/>
  <c r="L2" i="11"/>
  <c r="K2" i="11"/>
  <c r="J2" i="11"/>
  <c r="I2" i="11"/>
  <c r="H2" i="11"/>
  <c r="G2" i="11"/>
  <c r="F2" i="11"/>
  <c r="E2" i="11"/>
  <c r="D2" i="11"/>
  <c r="A1" i="11"/>
  <c r="B810" i="1"/>
  <c r="B809" i="1"/>
  <c r="B800" i="1"/>
  <c r="B799" i="1"/>
  <c r="B798" i="1"/>
  <c r="BG794" i="1"/>
  <c r="BF794" i="1"/>
  <c r="BE794" i="1"/>
  <c r="BD794" i="1"/>
  <c r="BC794" i="1"/>
  <c r="BB794" i="1"/>
  <c r="BA794" i="1"/>
  <c r="AZ794" i="1"/>
  <c r="AY794" i="1"/>
  <c r="AX794" i="1"/>
  <c r="AW794" i="1"/>
  <c r="AV794" i="1"/>
  <c r="AU794" i="1"/>
  <c r="AT794" i="1"/>
  <c r="AS794" i="1"/>
  <c r="AR794" i="1"/>
  <c r="AQ794" i="1"/>
  <c r="AP794" i="1"/>
  <c r="AO794" i="1"/>
  <c r="AN794" i="1"/>
  <c r="AM794" i="1"/>
  <c r="AL794" i="1"/>
  <c r="AK794" i="1"/>
  <c r="AJ794" i="1"/>
  <c r="AI794" i="1"/>
  <c r="AH794" i="1"/>
  <c r="AG794" i="1"/>
  <c r="AF794" i="1"/>
  <c r="AE794" i="1"/>
  <c r="AD794" i="1"/>
  <c r="AC794" i="1"/>
  <c r="AB794" i="1"/>
  <c r="AA794" i="1"/>
  <c r="Z794" i="1"/>
  <c r="Y794" i="1"/>
  <c r="X794" i="1"/>
  <c r="W794" i="1"/>
  <c r="V794" i="1"/>
  <c r="U794" i="1"/>
  <c r="T794" i="1"/>
  <c r="S794" i="1"/>
  <c r="R794" i="1"/>
  <c r="Q794" i="1"/>
  <c r="P794" i="1"/>
  <c r="O794" i="1"/>
  <c r="N794" i="1"/>
  <c r="M794" i="1"/>
  <c r="L794" i="1"/>
  <c r="K794" i="1"/>
  <c r="J794" i="1"/>
  <c r="I794" i="1"/>
  <c r="H794" i="1"/>
  <c r="G794" i="1"/>
  <c r="F794" i="1"/>
  <c r="E794" i="1"/>
  <c r="D794" i="1"/>
  <c r="C794" i="1"/>
  <c r="BG790" i="1"/>
  <c r="BF790" i="1"/>
  <c r="BE790" i="1"/>
  <c r="BD790" i="1"/>
  <c r="BC790" i="1"/>
  <c r="BB790" i="1"/>
  <c r="BA790" i="1"/>
  <c r="AZ790" i="1"/>
  <c r="AY790" i="1"/>
  <c r="AX790" i="1"/>
  <c r="BG787" i="1"/>
  <c r="BF787" i="1"/>
  <c r="BE787" i="1"/>
  <c r="BD787" i="1"/>
  <c r="BC787" i="1"/>
  <c r="BB787" i="1"/>
  <c r="BA787" i="1"/>
  <c r="AZ787" i="1"/>
  <c r="AY787" i="1"/>
  <c r="AX787" i="1"/>
  <c r="AW787" i="1"/>
  <c r="AV787" i="1"/>
  <c r="AU787" i="1"/>
  <c r="AT787" i="1"/>
  <c r="AS787" i="1"/>
  <c r="AR787" i="1"/>
  <c r="AQ787" i="1"/>
  <c r="AP787" i="1"/>
  <c r="AO787" i="1"/>
  <c r="AN787" i="1"/>
  <c r="AM787" i="1"/>
  <c r="AL787" i="1"/>
  <c r="AK787" i="1"/>
  <c r="AJ787" i="1"/>
  <c r="AI787" i="1"/>
  <c r="AH787" i="1"/>
  <c r="AG787" i="1"/>
  <c r="AF787" i="1"/>
  <c r="AE787" i="1"/>
  <c r="AD787" i="1"/>
  <c r="AC787" i="1"/>
  <c r="AB787" i="1"/>
  <c r="AA787" i="1"/>
  <c r="Z787" i="1"/>
  <c r="Y787" i="1"/>
  <c r="X787" i="1"/>
  <c r="W787" i="1"/>
  <c r="V787" i="1"/>
  <c r="U787" i="1"/>
  <c r="T787" i="1"/>
  <c r="S787" i="1"/>
  <c r="R787" i="1"/>
  <c r="Q787" i="1"/>
  <c r="P787" i="1"/>
  <c r="O787" i="1"/>
  <c r="N787" i="1"/>
  <c r="M787" i="1"/>
  <c r="L787" i="1"/>
  <c r="K787" i="1"/>
  <c r="J787" i="1"/>
  <c r="I787" i="1"/>
  <c r="H787" i="1"/>
  <c r="G787" i="1"/>
  <c r="F787" i="1"/>
  <c r="E787" i="1"/>
  <c r="D787" i="1"/>
  <c r="C787" i="1"/>
  <c r="BG785" i="1"/>
  <c r="BF785" i="1"/>
  <c r="BE785" i="1"/>
  <c r="BD785" i="1"/>
  <c r="BC785" i="1"/>
  <c r="BB785" i="1"/>
  <c r="BA785" i="1"/>
  <c r="AZ785" i="1"/>
  <c r="AY785" i="1"/>
  <c r="AX785" i="1"/>
  <c r="AW785" i="1"/>
  <c r="AV785" i="1"/>
  <c r="AU785" i="1"/>
  <c r="AT785" i="1"/>
  <c r="AS785" i="1"/>
  <c r="AR785" i="1"/>
  <c r="AQ785" i="1"/>
  <c r="AP785" i="1"/>
  <c r="AO785" i="1"/>
  <c r="AN785" i="1"/>
  <c r="AM785" i="1"/>
  <c r="AL785" i="1"/>
  <c r="AK785" i="1"/>
  <c r="AJ785" i="1"/>
  <c r="AI785" i="1"/>
  <c r="AH785" i="1"/>
  <c r="AG785" i="1"/>
  <c r="AF785" i="1"/>
  <c r="AE785" i="1"/>
  <c r="AD785" i="1"/>
  <c r="AC785" i="1"/>
  <c r="AB785" i="1"/>
  <c r="AA785" i="1"/>
  <c r="Z785" i="1"/>
  <c r="Y785" i="1"/>
  <c r="X785" i="1"/>
  <c r="W785" i="1"/>
  <c r="V785" i="1"/>
  <c r="U785" i="1"/>
  <c r="T785" i="1"/>
  <c r="S785" i="1"/>
  <c r="R785" i="1"/>
  <c r="Q785" i="1"/>
  <c r="P785" i="1"/>
  <c r="O785" i="1"/>
  <c r="N785" i="1"/>
  <c r="M785" i="1"/>
  <c r="L785" i="1"/>
  <c r="K785" i="1"/>
  <c r="J785" i="1"/>
  <c r="I785" i="1"/>
  <c r="H785" i="1"/>
  <c r="G785" i="1"/>
  <c r="F785" i="1"/>
  <c r="E785" i="1"/>
  <c r="D785" i="1"/>
  <c r="C785" i="1"/>
  <c r="BG780" i="1"/>
  <c r="BF780" i="1"/>
  <c r="BE780" i="1"/>
  <c r="BD780" i="1"/>
  <c r="BC780" i="1"/>
  <c r="BB780" i="1"/>
  <c r="BA780" i="1"/>
  <c r="AZ780" i="1"/>
  <c r="AY780" i="1"/>
  <c r="AX780" i="1"/>
  <c r="AW780" i="1"/>
  <c r="AV780" i="1"/>
  <c r="AU780" i="1"/>
  <c r="AT780" i="1"/>
  <c r="AS780" i="1"/>
  <c r="AR780" i="1"/>
  <c r="AQ780" i="1"/>
  <c r="AP780" i="1"/>
  <c r="AO780" i="1"/>
  <c r="AN780" i="1"/>
  <c r="AM780" i="1"/>
  <c r="AL780" i="1"/>
  <c r="AK780" i="1"/>
  <c r="AJ780" i="1"/>
  <c r="AI780" i="1"/>
  <c r="AH780" i="1"/>
  <c r="AG780" i="1"/>
  <c r="AF780" i="1"/>
  <c r="AE780" i="1"/>
  <c r="AD780" i="1"/>
  <c r="AC780" i="1"/>
  <c r="AB780" i="1"/>
  <c r="AA780" i="1"/>
  <c r="Z780" i="1"/>
  <c r="Y780" i="1"/>
  <c r="X780" i="1"/>
  <c r="W780" i="1"/>
  <c r="V780" i="1"/>
  <c r="U780" i="1"/>
  <c r="T780" i="1"/>
  <c r="S780" i="1"/>
  <c r="R780" i="1"/>
  <c r="Q780" i="1"/>
  <c r="P780" i="1"/>
  <c r="O780" i="1"/>
  <c r="N780" i="1"/>
  <c r="M780" i="1"/>
  <c r="L780" i="1"/>
  <c r="K780" i="1"/>
  <c r="J780" i="1"/>
  <c r="I780" i="1"/>
  <c r="H780" i="1"/>
  <c r="G780" i="1"/>
  <c r="F780" i="1"/>
  <c r="E780" i="1"/>
  <c r="D780" i="1"/>
  <c r="C780" i="1"/>
  <c r="BG778" i="1"/>
  <c r="BF778" i="1"/>
  <c r="BE778" i="1"/>
  <c r="BD778" i="1"/>
  <c r="BC778" i="1"/>
  <c r="BB778" i="1"/>
  <c r="BA778" i="1"/>
  <c r="AZ778" i="1"/>
  <c r="AY778" i="1"/>
  <c r="AX778" i="1"/>
  <c r="AW778" i="1"/>
  <c r="AV778" i="1"/>
  <c r="AU778" i="1"/>
  <c r="AT778" i="1"/>
  <c r="AS778" i="1"/>
  <c r="AR778" i="1"/>
  <c r="AQ778" i="1"/>
  <c r="AP778" i="1"/>
  <c r="AO778" i="1"/>
  <c r="AN778" i="1"/>
  <c r="AM778" i="1"/>
  <c r="AL778" i="1"/>
  <c r="AK778" i="1"/>
  <c r="AJ778" i="1"/>
  <c r="AI778" i="1"/>
  <c r="AH778" i="1"/>
  <c r="AG778" i="1"/>
  <c r="AF778" i="1"/>
  <c r="AE778" i="1"/>
  <c r="AD778" i="1"/>
  <c r="AC778" i="1"/>
  <c r="AB778" i="1"/>
  <c r="AA778" i="1"/>
  <c r="Z778" i="1"/>
  <c r="Y778" i="1"/>
  <c r="X778" i="1"/>
  <c r="W778" i="1"/>
  <c r="V778" i="1"/>
  <c r="U778" i="1"/>
  <c r="T778" i="1"/>
  <c r="S778" i="1"/>
  <c r="R778" i="1"/>
  <c r="Q778" i="1"/>
  <c r="P778" i="1"/>
  <c r="O778" i="1"/>
  <c r="N778" i="1"/>
  <c r="M778" i="1"/>
  <c r="L778" i="1"/>
  <c r="K778" i="1"/>
  <c r="J778" i="1"/>
  <c r="I778" i="1"/>
  <c r="H778" i="1"/>
  <c r="G778" i="1"/>
  <c r="F778" i="1"/>
  <c r="E778" i="1"/>
  <c r="D778" i="1"/>
  <c r="C778" i="1"/>
  <c r="BG773" i="1"/>
  <c r="BF773" i="1"/>
  <c r="BE773" i="1"/>
  <c r="BD773" i="1"/>
  <c r="BC773" i="1"/>
  <c r="BB773" i="1"/>
  <c r="BA773" i="1"/>
  <c r="AZ773" i="1"/>
  <c r="AY773" i="1"/>
  <c r="AX773" i="1"/>
  <c r="AW773" i="1"/>
  <c r="AV773" i="1"/>
  <c r="AU773" i="1"/>
  <c r="AT773" i="1"/>
  <c r="AS773" i="1"/>
  <c r="AR773" i="1"/>
  <c r="AQ773" i="1"/>
  <c r="AP773" i="1"/>
  <c r="AO773" i="1"/>
  <c r="AN773" i="1"/>
  <c r="AM773" i="1"/>
  <c r="AL773" i="1"/>
  <c r="AK773" i="1"/>
  <c r="AJ773" i="1"/>
  <c r="AI773" i="1"/>
  <c r="AH773" i="1"/>
  <c r="AG773" i="1"/>
  <c r="AF773" i="1"/>
  <c r="AE773" i="1"/>
  <c r="AD773" i="1"/>
  <c r="AC773" i="1"/>
  <c r="AB773" i="1"/>
  <c r="AA773" i="1"/>
  <c r="Z773" i="1"/>
  <c r="Y773" i="1"/>
  <c r="X773" i="1"/>
  <c r="W773" i="1"/>
  <c r="V773" i="1"/>
  <c r="U773" i="1"/>
  <c r="T773" i="1"/>
  <c r="S773" i="1"/>
  <c r="R773" i="1"/>
  <c r="Q773" i="1"/>
  <c r="P773" i="1"/>
  <c r="O773" i="1"/>
  <c r="N773" i="1"/>
  <c r="M773" i="1"/>
  <c r="L773" i="1"/>
  <c r="K773" i="1"/>
  <c r="J773" i="1"/>
  <c r="I773" i="1"/>
  <c r="H773" i="1"/>
  <c r="G773" i="1"/>
  <c r="F773" i="1"/>
  <c r="E773" i="1"/>
  <c r="D773" i="1"/>
  <c r="C773" i="1"/>
  <c r="BG771" i="1"/>
  <c r="BF771" i="1"/>
  <c r="BE771" i="1"/>
  <c r="BD771" i="1"/>
  <c r="BC771" i="1"/>
  <c r="BB771" i="1"/>
  <c r="BA771" i="1"/>
  <c r="AZ771" i="1"/>
  <c r="AY771" i="1"/>
  <c r="AX771" i="1"/>
  <c r="AW771" i="1"/>
  <c r="AV771" i="1"/>
  <c r="AU771" i="1"/>
  <c r="AT771" i="1"/>
  <c r="AS771" i="1"/>
  <c r="AR771" i="1"/>
  <c r="AQ771" i="1"/>
  <c r="AP771" i="1"/>
  <c r="AO771" i="1"/>
  <c r="AN771" i="1"/>
  <c r="AM771" i="1"/>
  <c r="AL771" i="1"/>
  <c r="AK771" i="1"/>
  <c r="AJ771" i="1"/>
  <c r="AI771" i="1"/>
  <c r="AH771" i="1"/>
  <c r="AG771" i="1"/>
  <c r="AF771" i="1"/>
  <c r="AE771" i="1"/>
  <c r="AD771" i="1"/>
  <c r="AC771" i="1"/>
  <c r="AB771" i="1"/>
  <c r="AA771" i="1"/>
  <c r="Z771" i="1"/>
  <c r="Y771" i="1"/>
  <c r="X771" i="1"/>
  <c r="W771" i="1"/>
  <c r="V771" i="1"/>
  <c r="U771" i="1"/>
  <c r="T771" i="1"/>
  <c r="S771" i="1"/>
  <c r="R771" i="1"/>
  <c r="Q771" i="1"/>
  <c r="P771" i="1"/>
  <c r="O771" i="1"/>
  <c r="N771" i="1"/>
  <c r="M771" i="1"/>
  <c r="L771" i="1"/>
  <c r="K771" i="1"/>
  <c r="J771" i="1"/>
  <c r="I771" i="1"/>
  <c r="H771" i="1"/>
  <c r="G771" i="1"/>
  <c r="F771" i="1"/>
  <c r="E771" i="1"/>
  <c r="D771" i="1"/>
  <c r="C771" i="1"/>
  <c r="BG767" i="1"/>
  <c r="BF767" i="1"/>
  <c r="BE767" i="1"/>
  <c r="BD767" i="1"/>
  <c r="BC767" i="1"/>
  <c r="BB767" i="1"/>
  <c r="BA767" i="1"/>
  <c r="AZ767" i="1"/>
  <c r="AY767" i="1"/>
  <c r="AX767" i="1"/>
  <c r="AW767" i="1"/>
  <c r="AV767" i="1"/>
  <c r="AU767" i="1"/>
  <c r="AT767" i="1"/>
  <c r="AS767" i="1"/>
  <c r="AR767" i="1"/>
  <c r="AQ767" i="1"/>
  <c r="AP767" i="1"/>
  <c r="AO767" i="1"/>
  <c r="AN767" i="1"/>
  <c r="AM767" i="1"/>
  <c r="AL767" i="1"/>
  <c r="AK767" i="1"/>
  <c r="AJ767" i="1"/>
  <c r="AI767" i="1"/>
  <c r="AH767" i="1"/>
  <c r="AG767" i="1"/>
  <c r="AF767" i="1"/>
  <c r="AE767" i="1"/>
  <c r="AD767" i="1"/>
  <c r="AC767" i="1"/>
  <c r="AB767" i="1"/>
  <c r="AA767" i="1"/>
  <c r="Z767" i="1"/>
  <c r="Y767" i="1"/>
  <c r="X767" i="1"/>
  <c r="W767" i="1"/>
  <c r="V767" i="1"/>
  <c r="U767" i="1"/>
  <c r="T767" i="1"/>
  <c r="S767" i="1"/>
  <c r="R767" i="1"/>
  <c r="Q767" i="1"/>
  <c r="P767" i="1"/>
  <c r="O767" i="1"/>
  <c r="N767" i="1"/>
  <c r="M767" i="1"/>
  <c r="L767" i="1"/>
  <c r="K767" i="1"/>
  <c r="J767" i="1"/>
  <c r="I767" i="1"/>
  <c r="H767" i="1"/>
  <c r="G767" i="1"/>
  <c r="F767" i="1"/>
  <c r="E767" i="1"/>
  <c r="D767" i="1"/>
  <c r="C767" i="1"/>
  <c r="A759" i="1"/>
  <c r="A756" i="1"/>
  <c r="A748" i="1"/>
  <c r="A745" i="1"/>
  <c r="BG720" i="1"/>
  <c r="BF720" i="1"/>
  <c r="BE720" i="1"/>
  <c r="BD720" i="1"/>
  <c r="BC720" i="1"/>
  <c r="BB720" i="1"/>
  <c r="BA720" i="1"/>
  <c r="AZ720" i="1"/>
  <c r="AY720" i="1"/>
  <c r="AX720" i="1"/>
  <c r="BG718" i="1"/>
  <c r="BF718" i="1"/>
  <c r="BE718" i="1"/>
  <c r="BD718" i="1"/>
  <c r="BC718" i="1"/>
  <c r="BB718" i="1"/>
  <c r="BA718" i="1"/>
  <c r="AZ718" i="1"/>
  <c r="AY718" i="1"/>
  <c r="AX718" i="1"/>
  <c r="E714" i="1"/>
  <c r="D714" i="1"/>
  <c r="C714" i="1"/>
  <c r="BG711" i="1"/>
  <c r="BF711" i="1"/>
  <c r="BE711" i="1"/>
  <c r="BD711" i="1"/>
  <c r="BC711" i="1"/>
  <c r="BB711" i="1"/>
  <c r="BA711" i="1"/>
  <c r="AZ711" i="1"/>
  <c r="AY711" i="1"/>
  <c r="AX711" i="1"/>
  <c r="BG710" i="1"/>
  <c r="BF710" i="1"/>
  <c r="BE710" i="1"/>
  <c r="BD710" i="1"/>
  <c r="BC710" i="1"/>
  <c r="BB710" i="1"/>
  <c r="BA710" i="1"/>
  <c r="AZ710" i="1"/>
  <c r="AY710" i="1"/>
  <c r="AX710" i="1"/>
  <c r="AY704" i="1"/>
  <c r="AZ704" i="1" s="1"/>
  <c r="BA704" i="1" s="1"/>
  <c r="BB704" i="1" s="1"/>
  <c r="BC704" i="1" s="1"/>
  <c r="BD704" i="1" s="1"/>
  <c r="BE704" i="1" s="1"/>
  <c r="BF704" i="1" s="1"/>
  <c r="BG704" i="1" s="1"/>
  <c r="AX704" i="1"/>
  <c r="AW703" i="1"/>
  <c r="AW96" i="9" s="1"/>
  <c r="AV703" i="1"/>
  <c r="AV96" i="9" s="1"/>
  <c r="AU703" i="1"/>
  <c r="AU96" i="9" s="1"/>
  <c r="AT703" i="1"/>
  <c r="AT96" i="9" s="1"/>
  <c r="AR703" i="1"/>
  <c r="AR96" i="9" s="1"/>
  <c r="AQ703" i="1"/>
  <c r="AQ96" i="9" s="1"/>
  <c r="AP703" i="1"/>
  <c r="AP96" i="9" s="1"/>
  <c r="AO703" i="1"/>
  <c r="AO96" i="9" s="1"/>
  <c r="AM703" i="1"/>
  <c r="AM96" i="9" s="1"/>
  <c r="AL703" i="1"/>
  <c r="AL96" i="9" s="1"/>
  <c r="AK703" i="1"/>
  <c r="AK96" i="9" s="1"/>
  <c r="AJ703" i="1"/>
  <c r="AJ96" i="9" s="1"/>
  <c r="AH703" i="1"/>
  <c r="AH96" i="9" s="1"/>
  <c r="AG703" i="1"/>
  <c r="AG96" i="9" s="1"/>
  <c r="AF703" i="1"/>
  <c r="AF96" i="9" s="1"/>
  <c r="AE703" i="1"/>
  <c r="AE96" i="9" s="1"/>
  <c r="AC703" i="1"/>
  <c r="AC96" i="9" s="1"/>
  <c r="AB703" i="1"/>
  <c r="AB96" i="9" s="1"/>
  <c r="AA703" i="1"/>
  <c r="AA96" i="9" s="1"/>
  <c r="Z703" i="1"/>
  <c r="Z96" i="9" s="1"/>
  <c r="X703" i="1"/>
  <c r="X96" i="9" s="1"/>
  <c r="W703" i="1"/>
  <c r="W96" i="9" s="1"/>
  <c r="V703" i="1"/>
  <c r="V96" i="9" s="1"/>
  <c r="U703" i="1"/>
  <c r="U96" i="9" s="1"/>
  <c r="T703" i="1"/>
  <c r="T96" i="9" s="1"/>
  <c r="S703" i="1"/>
  <c r="S96" i="9" s="1"/>
  <c r="R703" i="1"/>
  <c r="R96" i="9" s="1"/>
  <c r="Q703" i="1"/>
  <c r="Q96" i="9" s="1"/>
  <c r="P703" i="1"/>
  <c r="P96" i="9" s="1"/>
  <c r="O703" i="1"/>
  <c r="O96" i="9" s="1"/>
  <c r="N703" i="1"/>
  <c r="N96" i="9" s="1"/>
  <c r="M703" i="1"/>
  <c r="M96" i="9" s="1"/>
  <c r="L703" i="1"/>
  <c r="L96" i="9" s="1"/>
  <c r="K703" i="1"/>
  <c r="K96" i="9" s="1"/>
  <c r="J703" i="1"/>
  <c r="J96" i="9" s="1"/>
  <c r="I703" i="1"/>
  <c r="I96" i="9" s="1"/>
  <c r="H703" i="1"/>
  <c r="H96" i="9" s="1"/>
  <c r="G703" i="1"/>
  <c r="G96" i="9" s="1"/>
  <c r="F703" i="1"/>
  <c r="F96" i="9" s="1"/>
  <c r="E703" i="1"/>
  <c r="E96" i="9" s="1"/>
  <c r="E97" i="9" s="1"/>
  <c r="D703" i="1"/>
  <c r="D96" i="9" s="1"/>
  <c r="D97" i="9" s="1"/>
  <c r="C703" i="1"/>
  <c r="C96" i="9" s="1"/>
  <c r="C97" i="9" s="1"/>
  <c r="AS702" i="1"/>
  <c r="AN702" i="1"/>
  <c r="AI702" i="1"/>
  <c r="AD702" i="1"/>
  <c r="Y702" i="1"/>
  <c r="AX701" i="1"/>
  <c r="AY701" i="1" s="1"/>
  <c r="AZ701" i="1" s="1"/>
  <c r="BA701" i="1" s="1"/>
  <c r="BB701" i="1" s="1"/>
  <c r="BC701" i="1" s="1"/>
  <c r="BD701" i="1" s="1"/>
  <c r="BE701" i="1" s="1"/>
  <c r="BF701" i="1" s="1"/>
  <c r="BG701" i="1" s="1"/>
  <c r="AS701" i="1"/>
  <c r="AN701" i="1"/>
  <c r="AI701" i="1"/>
  <c r="AD701" i="1"/>
  <c r="Y701" i="1"/>
  <c r="AX700" i="1"/>
  <c r="AY700" i="1" s="1"/>
  <c r="AZ700" i="1" s="1"/>
  <c r="BA700" i="1" s="1"/>
  <c r="BB700" i="1" s="1"/>
  <c r="BC700" i="1" s="1"/>
  <c r="BD700" i="1" s="1"/>
  <c r="BE700" i="1" s="1"/>
  <c r="BF700" i="1" s="1"/>
  <c r="BG700" i="1" s="1"/>
  <c r="AS700" i="1"/>
  <c r="AN700" i="1"/>
  <c r="AI700" i="1"/>
  <c r="AD700" i="1"/>
  <c r="Y700" i="1"/>
  <c r="AS698" i="1"/>
  <c r="AS703" i="1" s="1"/>
  <c r="AN698" i="1"/>
  <c r="AN703" i="1" s="1"/>
  <c r="AI698" i="1"/>
  <c r="AI703" i="1" s="1"/>
  <c r="AD698" i="1"/>
  <c r="AD703" i="1" s="1"/>
  <c r="Y698" i="1"/>
  <c r="Y703" i="1" s="1"/>
  <c r="AW694" i="1"/>
  <c r="AV694" i="1"/>
  <c r="AU694" i="1"/>
  <c r="AT694" i="1"/>
  <c r="AR694" i="1"/>
  <c r="AQ694" i="1"/>
  <c r="AP694" i="1"/>
  <c r="AO694" i="1"/>
  <c r="AM694" i="1"/>
  <c r="AL694" i="1"/>
  <c r="AK694" i="1"/>
  <c r="AJ694" i="1"/>
  <c r="AH694" i="1"/>
  <c r="AG694" i="1"/>
  <c r="AF694" i="1"/>
  <c r="AE694" i="1"/>
  <c r="AC694" i="1"/>
  <c r="AB694" i="1"/>
  <c r="AA694" i="1"/>
  <c r="Z694" i="1"/>
  <c r="X694" i="1"/>
  <c r="W694" i="1"/>
  <c r="V694" i="1"/>
  <c r="U694" i="1"/>
  <c r="T694" i="1"/>
  <c r="S694" i="1"/>
  <c r="R694" i="1"/>
  <c r="Q694" i="1"/>
  <c r="P694" i="1"/>
  <c r="O694" i="1"/>
  <c r="N694" i="1"/>
  <c r="M694" i="1"/>
  <c r="L694" i="1"/>
  <c r="K694" i="1"/>
  <c r="J694" i="1"/>
  <c r="I694" i="1"/>
  <c r="H694" i="1"/>
  <c r="G694" i="1"/>
  <c r="F694" i="1"/>
  <c r="E694" i="1"/>
  <c r="D694" i="1"/>
  <c r="C694" i="1"/>
  <c r="AX693" i="1"/>
  <c r="AY693" i="1" s="1"/>
  <c r="AZ693" i="1" s="1"/>
  <c r="BA693" i="1" s="1"/>
  <c r="BB693" i="1" s="1"/>
  <c r="BC693" i="1" s="1"/>
  <c r="BD693" i="1" s="1"/>
  <c r="BE693" i="1" s="1"/>
  <c r="BF693" i="1" s="1"/>
  <c r="BG693" i="1" s="1"/>
  <c r="AS693" i="1"/>
  <c r="AN693" i="1"/>
  <c r="AI693" i="1"/>
  <c r="AD693" i="1"/>
  <c r="Y693" i="1"/>
  <c r="AW692" i="1"/>
  <c r="AX692" i="1" s="1"/>
  <c r="AY692" i="1" s="1"/>
  <c r="AZ692" i="1" s="1"/>
  <c r="BA692" i="1" s="1"/>
  <c r="BB692" i="1" s="1"/>
  <c r="BC692" i="1" s="1"/>
  <c r="BD692" i="1" s="1"/>
  <c r="BE692" i="1" s="1"/>
  <c r="BF692" i="1" s="1"/>
  <c r="BG692" i="1" s="1"/>
  <c r="AV692" i="1"/>
  <c r="AU692" i="1"/>
  <c r="AT692" i="1"/>
  <c r="AR692" i="1"/>
  <c r="AQ692" i="1"/>
  <c r="AP692" i="1"/>
  <c r="AO692" i="1"/>
  <c r="AM692" i="1"/>
  <c r="AL692" i="1"/>
  <c r="AK692" i="1"/>
  <c r="AX691" i="1"/>
  <c r="AY691" i="1" s="1"/>
  <c r="AZ691" i="1" s="1"/>
  <c r="BA691" i="1" s="1"/>
  <c r="BB691" i="1" s="1"/>
  <c r="BC691" i="1" s="1"/>
  <c r="BD691" i="1" s="1"/>
  <c r="BE691" i="1" s="1"/>
  <c r="BF691" i="1" s="1"/>
  <c r="BG691" i="1" s="1"/>
  <c r="AS691" i="1"/>
  <c r="AS692" i="1" s="1"/>
  <c r="AN691" i="1"/>
  <c r="AN692" i="1" s="1"/>
  <c r="AS690" i="1"/>
  <c r="AN690" i="1"/>
  <c r="AI690" i="1"/>
  <c r="AD690" i="1"/>
  <c r="Y690" i="1"/>
  <c r="AS689" i="1"/>
  <c r="AN689" i="1"/>
  <c r="AI689" i="1"/>
  <c r="AD689" i="1"/>
  <c r="Y689" i="1"/>
  <c r="AX688" i="1"/>
  <c r="AS688" i="1"/>
  <c r="AS694" i="1" s="1"/>
  <c r="AN688" i="1"/>
  <c r="AN694" i="1" s="1"/>
  <c r="AI688" i="1"/>
  <c r="AI694" i="1" s="1"/>
  <c r="AD688" i="1"/>
  <c r="AD694" i="1" s="1"/>
  <c r="Y688" i="1"/>
  <c r="Y694" i="1" s="1"/>
  <c r="AW685" i="1"/>
  <c r="AW110" i="9" s="1"/>
  <c r="AV685" i="1"/>
  <c r="AV110" i="9" s="1"/>
  <c r="AU685" i="1"/>
  <c r="AU110" i="9" s="1"/>
  <c r="AT685" i="1"/>
  <c r="AT110" i="9" s="1"/>
  <c r="AR685" i="1"/>
  <c r="AR110" i="9" s="1"/>
  <c r="AQ685" i="1"/>
  <c r="AQ110" i="9" s="1"/>
  <c r="AP685" i="1"/>
  <c r="AP110" i="9" s="1"/>
  <c r="AO685" i="1"/>
  <c r="AO110" i="9" s="1"/>
  <c r="AM685" i="1"/>
  <c r="AM110" i="9" s="1"/>
  <c r="AL685" i="1"/>
  <c r="AL110" i="9" s="1"/>
  <c r="AK685" i="1"/>
  <c r="AK110" i="9" s="1"/>
  <c r="AJ685" i="1"/>
  <c r="AJ110" i="9" s="1"/>
  <c r="AH685" i="1"/>
  <c r="AH110" i="9" s="1"/>
  <c r="AG685" i="1"/>
  <c r="AG110" i="9" s="1"/>
  <c r="AF685" i="1"/>
  <c r="AF110" i="9" s="1"/>
  <c r="AE685" i="1"/>
  <c r="AE110" i="9" s="1"/>
  <c r="AC685" i="1"/>
  <c r="AC110" i="9" s="1"/>
  <c r="AB685" i="1"/>
  <c r="AB110" i="9" s="1"/>
  <c r="AA685" i="1"/>
  <c r="AA110" i="9" s="1"/>
  <c r="Z685" i="1"/>
  <c r="Z110" i="9" s="1"/>
  <c r="X685" i="1"/>
  <c r="X110" i="9" s="1"/>
  <c r="W685" i="1"/>
  <c r="W110" i="9" s="1"/>
  <c r="V685" i="1"/>
  <c r="V110" i="9" s="1"/>
  <c r="U685" i="1"/>
  <c r="U110" i="9" s="1"/>
  <c r="T685" i="1"/>
  <c r="T110" i="9" s="1"/>
  <c r="S685" i="1"/>
  <c r="S110" i="9" s="1"/>
  <c r="R685" i="1"/>
  <c r="R110" i="9" s="1"/>
  <c r="Q685" i="1"/>
  <c r="Q110" i="9" s="1"/>
  <c r="P685" i="1"/>
  <c r="P110" i="9" s="1"/>
  <c r="O685" i="1"/>
  <c r="O110" i="9" s="1"/>
  <c r="N685" i="1"/>
  <c r="N110" i="9" s="1"/>
  <c r="M685" i="1"/>
  <c r="M110" i="9" s="1"/>
  <c r="L685" i="1"/>
  <c r="L110" i="9" s="1"/>
  <c r="K685" i="1"/>
  <c r="K110" i="9" s="1"/>
  <c r="J685" i="1"/>
  <c r="J110" i="9" s="1"/>
  <c r="I685" i="1"/>
  <c r="I110" i="9" s="1"/>
  <c r="H685" i="1"/>
  <c r="H110" i="9" s="1"/>
  <c r="G685" i="1"/>
  <c r="G110" i="9" s="1"/>
  <c r="F685" i="1"/>
  <c r="F110" i="9" s="1"/>
  <c r="F111" i="9" s="1"/>
  <c r="E685" i="1"/>
  <c r="E110" i="9" s="1"/>
  <c r="D685" i="1"/>
  <c r="D110" i="9" s="1"/>
  <c r="D111" i="9" s="1"/>
  <c r="C685" i="1"/>
  <c r="C110" i="9" s="1"/>
  <c r="C111" i="9" s="1"/>
  <c r="AS684" i="1"/>
  <c r="AN684" i="1"/>
  <c r="AI684" i="1"/>
  <c r="AD684" i="1"/>
  <c r="Y684" i="1"/>
  <c r="AS683" i="1"/>
  <c r="AS682" i="1"/>
  <c r="AN682" i="1"/>
  <c r="AI682" i="1"/>
  <c r="AD682" i="1"/>
  <c r="Y682" i="1"/>
  <c r="AS681" i="1"/>
  <c r="AN681" i="1"/>
  <c r="AI681" i="1"/>
  <c r="AD681" i="1"/>
  <c r="Y681" i="1"/>
  <c r="AW680" i="1"/>
  <c r="AX680" i="1" s="1"/>
  <c r="AY680" i="1" s="1"/>
  <c r="AZ680" i="1" s="1"/>
  <c r="BA680" i="1" s="1"/>
  <c r="BB680" i="1" s="1"/>
  <c r="BC680" i="1" s="1"/>
  <c r="BD680" i="1" s="1"/>
  <c r="BE680" i="1" s="1"/>
  <c r="BF680" i="1" s="1"/>
  <c r="BG680" i="1" s="1"/>
  <c r="AV680" i="1"/>
  <c r="AU680" i="1"/>
  <c r="AT680" i="1"/>
  <c r="AR680" i="1"/>
  <c r="AQ680" i="1"/>
  <c r="AP680" i="1"/>
  <c r="AO680" i="1"/>
  <c r="AM680" i="1"/>
  <c r="AL680" i="1"/>
  <c r="AK680" i="1"/>
  <c r="AX679" i="1"/>
  <c r="AY679" i="1" s="1"/>
  <c r="AZ679" i="1" s="1"/>
  <c r="BA679" i="1" s="1"/>
  <c r="BB679" i="1" s="1"/>
  <c r="BC679" i="1" s="1"/>
  <c r="BD679" i="1" s="1"/>
  <c r="BE679" i="1" s="1"/>
  <c r="BF679" i="1" s="1"/>
  <c r="BG679" i="1" s="1"/>
  <c r="AS679" i="1"/>
  <c r="AS680" i="1" s="1"/>
  <c r="AN679" i="1"/>
  <c r="AN680" i="1" s="1"/>
  <c r="AS678" i="1"/>
  <c r="AN678" i="1"/>
  <c r="AI678" i="1"/>
  <c r="AD678" i="1"/>
  <c r="Y678" i="1"/>
  <c r="AZ677" i="1"/>
  <c r="AY677" i="1"/>
  <c r="AX677" i="1"/>
  <c r="AS677" i="1"/>
  <c r="AS685" i="1" s="1"/>
  <c r="AN677" i="1"/>
  <c r="AN685" i="1" s="1"/>
  <c r="AI677" i="1"/>
  <c r="AI685" i="1" s="1"/>
  <c r="AD677" i="1"/>
  <c r="AD685" i="1" s="1"/>
  <c r="Y677" i="1"/>
  <c r="Y685" i="1" s="1"/>
  <c r="AC673" i="1"/>
  <c r="AB673" i="1"/>
  <c r="AA673" i="1"/>
  <c r="Z673" i="1"/>
  <c r="X673" i="1"/>
  <c r="W673" i="1"/>
  <c r="V673" i="1"/>
  <c r="U673" i="1"/>
  <c r="T673" i="1"/>
  <c r="S673" i="1"/>
  <c r="R673" i="1"/>
  <c r="Q673" i="1"/>
  <c r="P673" i="1"/>
  <c r="O673" i="1"/>
  <c r="N673" i="1"/>
  <c r="M673" i="1"/>
  <c r="L673" i="1"/>
  <c r="K673" i="1"/>
  <c r="J673" i="1"/>
  <c r="I673" i="1"/>
  <c r="H673" i="1"/>
  <c r="G673" i="1"/>
  <c r="F673" i="1"/>
  <c r="E673" i="1"/>
  <c r="D673" i="1"/>
  <c r="C673" i="1"/>
  <c r="AW672" i="1"/>
  <c r="AX672" i="1" s="1"/>
  <c r="AY672" i="1" s="1"/>
  <c r="AZ672" i="1" s="1"/>
  <c r="BA672" i="1" s="1"/>
  <c r="BB672" i="1" s="1"/>
  <c r="BC672" i="1" s="1"/>
  <c r="BD672" i="1" s="1"/>
  <c r="BE672" i="1" s="1"/>
  <c r="BF672" i="1" s="1"/>
  <c r="BG672" i="1" s="1"/>
  <c r="AV672" i="1"/>
  <c r="AU672" i="1"/>
  <c r="AT672" i="1"/>
  <c r="AS672" i="1" s="1"/>
  <c r="AR672" i="1"/>
  <c r="AQ672" i="1"/>
  <c r="AP672" i="1"/>
  <c r="AO672" i="1"/>
  <c r="AN672" i="1" s="1"/>
  <c r="AM672" i="1"/>
  <c r="AL672" i="1"/>
  <c r="AK672" i="1"/>
  <c r="AJ672" i="1"/>
  <c r="AJ673" i="1" s="1"/>
  <c r="AI672" i="1"/>
  <c r="AH672" i="1"/>
  <c r="AH673" i="1" s="1"/>
  <c r="AG672" i="1"/>
  <c r="AG673" i="1" s="1"/>
  <c r="AF672" i="1"/>
  <c r="AF673" i="1" s="1"/>
  <c r="AE672" i="1"/>
  <c r="AE673" i="1" s="1"/>
  <c r="AD672" i="1"/>
  <c r="Y672" i="1"/>
  <c r="AX671" i="1"/>
  <c r="AY671" i="1" s="1"/>
  <c r="AZ671" i="1" s="1"/>
  <c r="BA671" i="1" s="1"/>
  <c r="BB671" i="1" s="1"/>
  <c r="BC671" i="1" s="1"/>
  <c r="BD671" i="1" s="1"/>
  <c r="BE671" i="1" s="1"/>
  <c r="BF671" i="1" s="1"/>
  <c r="BG671" i="1" s="1"/>
  <c r="AS671" i="1"/>
  <c r="AN671" i="1"/>
  <c r="AI671" i="1"/>
  <c r="AH671" i="1"/>
  <c r="AG671" i="1"/>
  <c r="AF671" i="1"/>
  <c r="AD671" i="1"/>
  <c r="AS670" i="1"/>
  <c r="AN670" i="1"/>
  <c r="AI670" i="1"/>
  <c r="AD670" i="1"/>
  <c r="Y670" i="1"/>
  <c r="AS669" i="1"/>
  <c r="AN669" i="1"/>
  <c r="AI669" i="1"/>
  <c r="AD669" i="1"/>
  <c r="Y669" i="1"/>
  <c r="AI668" i="1"/>
  <c r="AI673" i="1" s="1"/>
  <c r="AD668" i="1"/>
  <c r="AD673" i="1" s="1"/>
  <c r="Y668" i="1"/>
  <c r="Y673" i="1" s="1"/>
  <c r="AW666" i="1"/>
  <c r="AW668" i="1" s="1"/>
  <c r="AV666" i="1"/>
  <c r="AV668" i="1" s="1"/>
  <c r="AV673" i="1" s="1"/>
  <c r="AU666" i="1"/>
  <c r="AU668" i="1" s="1"/>
  <c r="AU673" i="1" s="1"/>
  <c r="AT666" i="1"/>
  <c r="AT668" i="1" s="1"/>
  <c r="AT673" i="1" s="1"/>
  <c r="AR666" i="1"/>
  <c r="AR668" i="1" s="1"/>
  <c r="AR673" i="1" s="1"/>
  <c r="AQ666" i="1"/>
  <c r="AQ668" i="1" s="1"/>
  <c r="AQ673" i="1" s="1"/>
  <c r="AP666" i="1"/>
  <c r="AP668" i="1" s="1"/>
  <c r="AP673" i="1" s="1"/>
  <c r="AO666" i="1"/>
  <c r="AO668" i="1" s="1"/>
  <c r="AO673" i="1" s="1"/>
  <c r="AM666" i="1"/>
  <c r="AM668" i="1" s="1"/>
  <c r="AM673" i="1" s="1"/>
  <c r="AL666" i="1"/>
  <c r="AL668" i="1" s="1"/>
  <c r="AL673" i="1" s="1"/>
  <c r="AK666" i="1"/>
  <c r="AK668" i="1" s="1"/>
  <c r="AK673" i="1" s="1"/>
  <c r="AS665" i="1"/>
  <c r="AN665" i="1"/>
  <c r="AS664" i="1"/>
  <c r="AS666" i="1" s="1"/>
  <c r="AN664" i="1"/>
  <c r="AS663" i="1"/>
  <c r="AN663" i="1"/>
  <c r="AN666" i="1" s="1"/>
  <c r="AS662" i="1"/>
  <c r="AS668" i="1" s="1"/>
  <c r="AN662" i="1"/>
  <c r="AM659" i="1"/>
  <c r="AM674" i="1" s="1"/>
  <c r="AL659" i="1"/>
  <c r="AK659" i="1"/>
  <c r="AK674" i="1" s="1"/>
  <c r="AJ659" i="1"/>
  <c r="AJ674" i="1" s="1"/>
  <c r="AH659" i="1"/>
  <c r="AG659" i="1"/>
  <c r="AG674" i="1" s="1"/>
  <c r="AF659" i="1"/>
  <c r="AF674" i="1" s="1"/>
  <c r="AE659" i="1"/>
  <c r="AE674" i="1" s="1"/>
  <c r="AC659" i="1"/>
  <c r="AC674" i="1" s="1"/>
  <c r="AB659" i="1"/>
  <c r="AB674" i="1" s="1"/>
  <c r="AA659" i="1"/>
  <c r="AA674" i="1" s="1"/>
  <c r="Z659" i="1"/>
  <c r="Z674" i="1" s="1"/>
  <c r="X659" i="1"/>
  <c r="X674" i="1" s="1"/>
  <c r="W659" i="1"/>
  <c r="W674" i="1" s="1"/>
  <c r="V659" i="1"/>
  <c r="V674" i="1" s="1"/>
  <c r="U659" i="1"/>
  <c r="U674" i="1" s="1"/>
  <c r="T659" i="1"/>
  <c r="T674" i="1" s="1"/>
  <c r="S659" i="1"/>
  <c r="S674" i="1" s="1"/>
  <c r="R659" i="1"/>
  <c r="R674" i="1" s="1"/>
  <c r="Q659" i="1"/>
  <c r="Q674" i="1" s="1"/>
  <c r="P659" i="1"/>
  <c r="P674" i="1" s="1"/>
  <c r="O659" i="1"/>
  <c r="O674" i="1" s="1"/>
  <c r="N659" i="1"/>
  <c r="N674" i="1" s="1"/>
  <c r="M659" i="1"/>
  <c r="M674" i="1" s="1"/>
  <c r="L659" i="1"/>
  <c r="L674" i="1" s="1"/>
  <c r="K659" i="1"/>
  <c r="K674" i="1" s="1"/>
  <c r="J659" i="1"/>
  <c r="J674" i="1" s="1"/>
  <c r="I659" i="1"/>
  <c r="I674" i="1" s="1"/>
  <c r="H659" i="1"/>
  <c r="H674" i="1" s="1"/>
  <c r="G659" i="1"/>
  <c r="G674" i="1" s="1"/>
  <c r="F659" i="1"/>
  <c r="F674" i="1" s="1"/>
  <c r="E659" i="1"/>
  <c r="E674" i="1" s="1"/>
  <c r="D659" i="1"/>
  <c r="D674" i="1" s="1"/>
  <c r="C659" i="1"/>
  <c r="C674" i="1" s="1"/>
  <c r="AW658" i="1"/>
  <c r="AW659" i="1" s="1"/>
  <c r="AV658" i="1"/>
  <c r="AV659" i="1" s="1"/>
  <c r="AU658" i="1"/>
  <c r="AU659" i="1" s="1"/>
  <c r="AU674" i="1" s="1"/>
  <c r="AT658" i="1"/>
  <c r="AT659" i="1" s="1"/>
  <c r="AT674" i="1" s="1"/>
  <c r="AS658" i="1"/>
  <c r="AR658" i="1"/>
  <c r="AR659" i="1" s="1"/>
  <c r="AR674" i="1" s="1"/>
  <c r="AQ658" i="1"/>
  <c r="AQ659" i="1" s="1"/>
  <c r="AP658" i="1"/>
  <c r="AP659" i="1" s="1"/>
  <c r="AP674" i="1" s="1"/>
  <c r="AO658" i="1"/>
  <c r="AO659" i="1" s="1"/>
  <c r="AO674" i="1" s="1"/>
  <c r="AN658" i="1"/>
  <c r="AI658" i="1"/>
  <c r="AD658" i="1"/>
  <c r="Y658" i="1"/>
  <c r="AX657" i="1"/>
  <c r="AY657" i="1" s="1"/>
  <c r="AZ657" i="1" s="1"/>
  <c r="BA657" i="1" s="1"/>
  <c r="BB657" i="1" s="1"/>
  <c r="BC657" i="1" s="1"/>
  <c r="BD657" i="1" s="1"/>
  <c r="BE657" i="1" s="1"/>
  <c r="BF657" i="1" s="1"/>
  <c r="BG657" i="1" s="1"/>
  <c r="AS657" i="1"/>
  <c r="AN657" i="1"/>
  <c r="AX656" i="1"/>
  <c r="AY656" i="1" s="1"/>
  <c r="AZ656" i="1" s="1"/>
  <c r="BA656" i="1" s="1"/>
  <c r="BB656" i="1" s="1"/>
  <c r="BC656" i="1" s="1"/>
  <c r="BD656" i="1" s="1"/>
  <c r="BE656" i="1" s="1"/>
  <c r="BF656" i="1" s="1"/>
  <c r="BG656" i="1" s="1"/>
  <c r="AS656" i="1"/>
  <c r="AN656" i="1"/>
  <c r="AI656" i="1"/>
  <c r="AD656" i="1"/>
  <c r="Y656" i="1"/>
  <c r="AX655" i="1"/>
  <c r="AY655" i="1" s="1"/>
  <c r="AZ655" i="1" s="1"/>
  <c r="BA655" i="1" s="1"/>
  <c r="BB655" i="1" s="1"/>
  <c r="BC655" i="1" s="1"/>
  <c r="BD655" i="1" s="1"/>
  <c r="BE655" i="1" s="1"/>
  <c r="BF655" i="1" s="1"/>
  <c r="BG655" i="1" s="1"/>
  <c r="AS655" i="1"/>
  <c r="AN655" i="1"/>
  <c r="AI655" i="1"/>
  <c r="AD655" i="1"/>
  <c r="Y655" i="1"/>
  <c r="AX654" i="1"/>
  <c r="AY654" i="1" s="1"/>
  <c r="AZ654" i="1" s="1"/>
  <c r="BA654" i="1" s="1"/>
  <c r="BB654" i="1" s="1"/>
  <c r="BC654" i="1" s="1"/>
  <c r="BD654" i="1" s="1"/>
  <c r="BE654" i="1" s="1"/>
  <c r="BF654" i="1" s="1"/>
  <c r="BG654" i="1" s="1"/>
  <c r="AS654" i="1"/>
  <c r="AN654" i="1"/>
  <c r="AI654" i="1"/>
  <c r="AD654" i="1"/>
  <c r="Y654" i="1"/>
  <c r="AX653" i="1"/>
  <c r="AY653" i="1" s="1"/>
  <c r="AZ653" i="1" s="1"/>
  <c r="BA653" i="1" s="1"/>
  <c r="BB653" i="1" s="1"/>
  <c r="BC653" i="1" s="1"/>
  <c r="BD653" i="1" s="1"/>
  <c r="BE653" i="1" s="1"/>
  <c r="BF653" i="1" s="1"/>
  <c r="BG653" i="1" s="1"/>
  <c r="AS653" i="1"/>
  <c r="AN653" i="1"/>
  <c r="AI653" i="1"/>
  <c r="AD653" i="1"/>
  <c r="Y653" i="1"/>
  <c r="AZ652" i="1"/>
  <c r="BA652" i="1" s="1"/>
  <c r="BB652" i="1" s="1"/>
  <c r="BC652" i="1" s="1"/>
  <c r="BD652" i="1" s="1"/>
  <c r="BE652" i="1" s="1"/>
  <c r="BF652" i="1" s="1"/>
  <c r="BG652" i="1" s="1"/>
  <c r="AY652" i="1"/>
  <c r="AX652" i="1"/>
  <c r="AS652" i="1"/>
  <c r="AN652" i="1"/>
  <c r="AI652" i="1"/>
  <c r="AD652" i="1"/>
  <c r="Y652" i="1"/>
  <c r="AY651" i="1"/>
  <c r="AZ651" i="1" s="1"/>
  <c r="BA651" i="1" s="1"/>
  <c r="BB651" i="1" s="1"/>
  <c r="BC651" i="1" s="1"/>
  <c r="BD651" i="1" s="1"/>
  <c r="BE651" i="1" s="1"/>
  <c r="BF651" i="1" s="1"/>
  <c r="BG651" i="1" s="1"/>
  <c r="AX651" i="1"/>
  <c r="AS651" i="1"/>
  <c r="AN651" i="1"/>
  <c r="AI651" i="1"/>
  <c r="AD651" i="1"/>
  <c r="Y651" i="1"/>
  <c r="AS650" i="1"/>
  <c r="AS659" i="1" s="1"/>
  <c r="AN650" i="1"/>
  <c r="AN659" i="1" s="1"/>
  <c r="AI650" i="1"/>
  <c r="AI659" i="1" s="1"/>
  <c r="AI674" i="1" s="1"/>
  <c r="AD650" i="1"/>
  <c r="AD659" i="1" s="1"/>
  <c r="AD674" i="1" s="1"/>
  <c r="Y650" i="1"/>
  <c r="Y659" i="1" s="1"/>
  <c r="Y674" i="1" s="1"/>
  <c r="BD646" i="1"/>
  <c r="AY646" i="1"/>
  <c r="BG645" i="1"/>
  <c r="BF645" i="1"/>
  <c r="BE645" i="1"/>
  <c r="BC645" i="1"/>
  <c r="BB645" i="1"/>
  <c r="BA645" i="1"/>
  <c r="AZ645" i="1"/>
  <c r="AX645" i="1"/>
  <c r="BD640" i="1"/>
  <c r="BD639" i="1"/>
  <c r="AV637" i="1"/>
  <c r="AU637" i="1"/>
  <c r="AT637" i="1"/>
  <c r="AR637" i="1"/>
  <c r="AQ637" i="1"/>
  <c r="AP637" i="1"/>
  <c r="AO637" i="1"/>
  <c r="AM637" i="1"/>
  <c r="AL637" i="1"/>
  <c r="AK637" i="1"/>
  <c r="AJ637" i="1"/>
  <c r="AI637" i="1"/>
  <c r="AH637" i="1"/>
  <c r="AG637" i="1"/>
  <c r="AF637" i="1"/>
  <c r="AE637" i="1"/>
  <c r="AD637" i="1"/>
  <c r="AC637" i="1"/>
  <c r="AB637" i="1"/>
  <c r="AA637" i="1"/>
  <c r="Z637" i="1"/>
  <c r="Y637" i="1"/>
  <c r="X637" i="1"/>
  <c r="W637" i="1"/>
  <c r="V637" i="1"/>
  <c r="U637" i="1"/>
  <c r="T637" i="1"/>
  <c r="S637" i="1"/>
  <c r="R637" i="1"/>
  <c r="Q637" i="1"/>
  <c r="P637" i="1"/>
  <c r="O637" i="1"/>
  <c r="N637" i="1"/>
  <c r="M637" i="1"/>
  <c r="L637" i="1"/>
  <c r="K637" i="1"/>
  <c r="J637" i="1"/>
  <c r="I637" i="1"/>
  <c r="H637" i="1"/>
  <c r="G637" i="1"/>
  <c r="F637" i="1"/>
  <c r="E637" i="1"/>
  <c r="D637" i="1"/>
  <c r="C637" i="1"/>
  <c r="BD635" i="1"/>
  <c r="AY633" i="1"/>
  <c r="AW633" i="1"/>
  <c r="AV633" i="1"/>
  <c r="AU633" i="1"/>
  <c r="AT633" i="1"/>
  <c r="AS633" i="1"/>
  <c r="AR633" i="1"/>
  <c r="AQ633" i="1"/>
  <c r="AP633" i="1"/>
  <c r="AO633" i="1"/>
  <c r="AN633" i="1"/>
  <c r="AM633" i="1"/>
  <c r="AL633" i="1"/>
  <c r="AK633" i="1"/>
  <c r="AJ633" i="1"/>
  <c r="AI633" i="1"/>
  <c r="AH633" i="1"/>
  <c r="AG633" i="1"/>
  <c r="AF633" i="1"/>
  <c r="AE633" i="1"/>
  <c r="AD633" i="1"/>
  <c r="AC633" i="1"/>
  <c r="AB633" i="1"/>
  <c r="AA633" i="1"/>
  <c r="Z633" i="1"/>
  <c r="Y633" i="1"/>
  <c r="X633" i="1"/>
  <c r="W633" i="1"/>
  <c r="V633" i="1"/>
  <c r="U633" i="1"/>
  <c r="T633" i="1"/>
  <c r="S633" i="1"/>
  <c r="R633" i="1"/>
  <c r="Q633" i="1"/>
  <c r="P633" i="1"/>
  <c r="O633" i="1"/>
  <c r="N633" i="1"/>
  <c r="M633" i="1"/>
  <c r="L633" i="1"/>
  <c r="K633" i="1"/>
  <c r="J633" i="1"/>
  <c r="I633" i="1"/>
  <c r="H633" i="1"/>
  <c r="G633" i="1"/>
  <c r="F633" i="1"/>
  <c r="E633" i="1"/>
  <c r="D633" i="1"/>
  <c r="AW631" i="1"/>
  <c r="AV631" i="1"/>
  <c r="AU631" i="1"/>
  <c r="AT631" i="1"/>
  <c r="AS631" i="1"/>
  <c r="AR631" i="1"/>
  <c r="AQ631" i="1"/>
  <c r="AP631" i="1"/>
  <c r="AO631" i="1"/>
  <c r="AN631" i="1"/>
  <c r="AM631" i="1"/>
  <c r="AL631" i="1"/>
  <c r="AK631" i="1"/>
  <c r="AJ631" i="1"/>
  <c r="AI631" i="1"/>
  <c r="AH631" i="1"/>
  <c r="AG631" i="1"/>
  <c r="AF631" i="1"/>
  <c r="AE631" i="1"/>
  <c r="AD631" i="1"/>
  <c r="AC631" i="1"/>
  <c r="AB631" i="1"/>
  <c r="AA631" i="1"/>
  <c r="Z631" i="1"/>
  <c r="Y631" i="1"/>
  <c r="X631" i="1"/>
  <c r="W631" i="1"/>
  <c r="V631" i="1"/>
  <c r="U631" i="1"/>
  <c r="T631" i="1"/>
  <c r="S631" i="1"/>
  <c r="R631" i="1"/>
  <c r="Q631" i="1"/>
  <c r="P631" i="1"/>
  <c r="O631" i="1"/>
  <c r="N631" i="1"/>
  <c r="M631" i="1"/>
  <c r="L631" i="1"/>
  <c r="K631" i="1"/>
  <c r="J631" i="1"/>
  <c r="I631" i="1"/>
  <c r="H631" i="1"/>
  <c r="G631" i="1"/>
  <c r="F631" i="1"/>
  <c r="E631" i="1"/>
  <c r="D631" i="1"/>
  <c r="C631" i="1"/>
  <c r="BG629" i="1"/>
  <c r="BF629" i="1"/>
  <c r="BE629" i="1"/>
  <c r="BC629" i="1"/>
  <c r="BB629" i="1"/>
  <c r="BA629" i="1"/>
  <c r="AZ629" i="1"/>
  <c r="BD629" i="1" s="1"/>
  <c r="AX629" i="1"/>
  <c r="AY627" i="1"/>
  <c r="AX627" i="1"/>
  <c r="AW627" i="1"/>
  <c r="AV627" i="1"/>
  <c r="AU627" i="1"/>
  <c r="AT627" i="1"/>
  <c r="AS627" i="1"/>
  <c r="AR627" i="1"/>
  <c r="AQ627" i="1"/>
  <c r="AP627" i="1"/>
  <c r="AO627" i="1"/>
  <c r="AN627" i="1"/>
  <c r="AM627" i="1"/>
  <c r="AL627" i="1"/>
  <c r="AK627" i="1"/>
  <c r="AJ627" i="1"/>
  <c r="AI627" i="1"/>
  <c r="AH627" i="1"/>
  <c r="AG627" i="1"/>
  <c r="AF627" i="1"/>
  <c r="AE627" i="1"/>
  <c r="AD627" i="1"/>
  <c r="AC627" i="1"/>
  <c r="AB627" i="1"/>
  <c r="AA627" i="1"/>
  <c r="Z627" i="1"/>
  <c r="Y627" i="1"/>
  <c r="X627" i="1"/>
  <c r="W627" i="1"/>
  <c r="V627" i="1"/>
  <c r="U627" i="1"/>
  <c r="T627" i="1"/>
  <c r="S627" i="1"/>
  <c r="R627" i="1"/>
  <c r="Q627" i="1"/>
  <c r="P627" i="1"/>
  <c r="O627" i="1"/>
  <c r="N627" i="1"/>
  <c r="M627" i="1"/>
  <c r="L627" i="1"/>
  <c r="K627" i="1"/>
  <c r="J627" i="1"/>
  <c r="I627" i="1"/>
  <c r="H627" i="1"/>
  <c r="G627" i="1"/>
  <c r="F627" i="1"/>
  <c r="E627" i="1"/>
  <c r="D627" i="1"/>
  <c r="A611" i="1"/>
  <c r="C610" i="1"/>
  <c r="A610" i="1"/>
  <c r="A608" i="1"/>
  <c r="BD607" i="1"/>
  <c r="AW607" i="1"/>
  <c r="AV607" i="1"/>
  <c r="AU607" i="1"/>
  <c r="AY607" i="1" s="1"/>
  <c r="AT607" i="1"/>
  <c r="AR607" i="1"/>
  <c r="AQ607" i="1"/>
  <c r="AP607" i="1"/>
  <c r="AO607" i="1"/>
  <c r="AM607" i="1"/>
  <c r="AL607" i="1"/>
  <c r="AK607" i="1"/>
  <c r="AJ607" i="1"/>
  <c r="AH607" i="1"/>
  <c r="AG607" i="1"/>
  <c r="AF607" i="1"/>
  <c r="AE607" i="1"/>
  <c r="AC607" i="1"/>
  <c r="AB607" i="1"/>
  <c r="AA607" i="1"/>
  <c r="Z607" i="1"/>
  <c r="X607" i="1"/>
  <c r="W607" i="1"/>
  <c r="V607" i="1"/>
  <c r="U607" i="1"/>
  <c r="T607" i="1"/>
  <c r="S607" i="1"/>
  <c r="R607" i="1"/>
  <c r="Q607" i="1"/>
  <c r="P607" i="1"/>
  <c r="O607" i="1"/>
  <c r="N607" i="1"/>
  <c r="M607" i="1"/>
  <c r="L607" i="1"/>
  <c r="K607" i="1"/>
  <c r="J607" i="1"/>
  <c r="I607" i="1"/>
  <c r="H607" i="1"/>
  <c r="G607" i="1"/>
  <c r="F607" i="1"/>
  <c r="E607" i="1"/>
  <c r="D607" i="1"/>
  <c r="C607" i="1"/>
  <c r="A607" i="1"/>
  <c r="A605" i="1"/>
  <c r="BD604" i="1"/>
  <c r="AW604" i="1"/>
  <c r="AV604" i="1"/>
  <c r="AU604" i="1"/>
  <c r="AY604" i="1" s="1"/>
  <c r="AT604" i="1"/>
  <c r="AR604" i="1"/>
  <c r="AQ604" i="1"/>
  <c r="AP604" i="1"/>
  <c r="AO604" i="1"/>
  <c r="AM604" i="1"/>
  <c r="AL604" i="1"/>
  <c r="AK604" i="1"/>
  <c r="AJ604" i="1"/>
  <c r="AH604" i="1"/>
  <c r="AG604" i="1"/>
  <c r="AF604" i="1"/>
  <c r="AE604" i="1"/>
  <c r="AC604" i="1"/>
  <c r="AB604" i="1"/>
  <c r="AA604" i="1"/>
  <c r="Z604" i="1"/>
  <c r="X604" i="1"/>
  <c r="W604" i="1"/>
  <c r="V604" i="1"/>
  <c r="U604" i="1"/>
  <c r="T604" i="1"/>
  <c r="S604" i="1"/>
  <c r="R604" i="1"/>
  <c r="Q604" i="1"/>
  <c r="P604" i="1"/>
  <c r="O604" i="1"/>
  <c r="N604" i="1"/>
  <c r="M604" i="1"/>
  <c r="L604" i="1"/>
  <c r="K604" i="1"/>
  <c r="J604" i="1"/>
  <c r="I604" i="1"/>
  <c r="H604" i="1"/>
  <c r="G604" i="1"/>
  <c r="F604" i="1"/>
  <c r="E604" i="1"/>
  <c r="D604" i="1"/>
  <c r="C604" i="1"/>
  <c r="A604" i="1"/>
  <c r="BD603" i="1"/>
  <c r="AW603" i="1"/>
  <c r="AV603" i="1"/>
  <c r="AU603" i="1"/>
  <c r="AY603" i="1" s="1"/>
  <c r="AT603" i="1"/>
  <c r="AR603" i="1"/>
  <c r="AQ603" i="1"/>
  <c r="AP603" i="1"/>
  <c r="AO603" i="1"/>
  <c r="AM603" i="1"/>
  <c r="AL603" i="1"/>
  <c r="AK603" i="1"/>
  <c r="AJ603" i="1"/>
  <c r="AH603" i="1"/>
  <c r="AG603" i="1"/>
  <c r="AF603" i="1"/>
  <c r="AE603" i="1"/>
  <c r="AC603" i="1"/>
  <c r="AB603" i="1"/>
  <c r="AA603" i="1"/>
  <c r="Z603" i="1"/>
  <c r="X603" i="1"/>
  <c r="W603" i="1"/>
  <c r="V603" i="1"/>
  <c r="U603" i="1"/>
  <c r="T603" i="1"/>
  <c r="S603" i="1"/>
  <c r="R603" i="1"/>
  <c r="Q603" i="1"/>
  <c r="P603" i="1"/>
  <c r="O603" i="1"/>
  <c r="N603" i="1"/>
  <c r="M603" i="1"/>
  <c r="L603" i="1"/>
  <c r="K603" i="1"/>
  <c r="J603" i="1"/>
  <c r="I603" i="1"/>
  <c r="H603" i="1"/>
  <c r="G603" i="1"/>
  <c r="F603" i="1"/>
  <c r="E603" i="1"/>
  <c r="D603" i="1"/>
  <c r="C603" i="1"/>
  <c r="A603" i="1"/>
  <c r="AW602" i="1"/>
  <c r="AV602" i="1"/>
  <c r="AU602" i="1"/>
  <c r="AT602" i="1"/>
  <c r="AR602" i="1"/>
  <c r="AQ602" i="1"/>
  <c r="AP602" i="1"/>
  <c r="AO602" i="1"/>
  <c r="AM602" i="1"/>
  <c r="AL602" i="1"/>
  <c r="AK602" i="1"/>
  <c r="AJ602" i="1"/>
  <c r="AH602" i="1"/>
  <c r="AG602" i="1"/>
  <c r="AF602" i="1"/>
  <c r="AE602" i="1"/>
  <c r="AC602" i="1"/>
  <c r="AB602" i="1"/>
  <c r="AA602" i="1"/>
  <c r="Z602" i="1"/>
  <c r="X602" i="1"/>
  <c r="W602" i="1"/>
  <c r="V602" i="1"/>
  <c r="U602" i="1"/>
  <c r="T602" i="1"/>
  <c r="S602" i="1"/>
  <c r="R602" i="1"/>
  <c r="Q602" i="1"/>
  <c r="P602" i="1"/>
  <c r="O602" i="1"/>
  <c r="N602" i="1"/>
  <c r="M602" i="1"/>
  <c r="L602" i="1"/>
  <c r="K602" i="1"/>
  <c r="J602" i="1"/>
  <c r="I602" i="1"/>
  <c r="H602" i="1"/>
  <c r="G602" i="1"/>
  <c r="F602" i="1"/>
  <c r="E602" i="1"/>
  <c r="D602" i="1"/>
  <c r="C602" i="1"/>
  <c r="A602" i="1"/>
  <c r="BD601" i="1"/>
  <c r="AW601" i="1"/>
  <c r="AV601" i="1"/>
  <c r="AU601" i="1"/>
  <c r="AY601" i="1" s="1"/>
  <c r="AT601" i="1"/>
  <c r="AR601" i="1"/>
  <c r="AQ601" i="1"/>
  <c r="AP601" i="1"/>
  <c r="AO601" i="1"/>
  <c r="AM601" i="1"/>
  <c r="AL601" i="1"/>
  <c r="AK601" i="1"/>
  <c r="AJ601" i="1"/>
  <c r="AH601" i="1"/>
  <c r="AG601" i="1"/>
  <c r="AF601" i="1"/>
  <c r="AE601" i="1"/>
  <c r="AC601" i="1"/>
  <c r="AB601" i="1"/>
  <c r="AA601" i="1"/>
  <c r="Z601" i="1"/>
  <c r="X601" i="1"/>
  <c r="W601" i="1"/>
  <c r="V601" i="1"/>
  <c r="U601" i="1"/>
  <c r="T601" i="1"/>
  <c r="S601" i="1"/>
  <c r="R601" i="1"/>
  <c r="Q601" i="1"/>
  <c r="P601" i="1"/>
  <c r="O601" i="1"/>
  <c r="N601" i="1"/>
  <c r="M601" i="1"/>
  <c r="L601" i="1"/>
  <c r="K601" i="1"/>
  <c r="J601" i="1"/>
  <c r="I601" i="1"/>
  <c r="H601" i="1"/>
  <c r="G601" i="1"/>
  <c r="F601" i="1"/>
  <c r="E601" i="1"/>
  <c r="D601" i="1"/>
  <c r="C601" i="1"/>
  <c r="A601" i="1"/>
  <c r="BG600" i="1"/>
  <c r="BF600" i="1"/>
  <c r="BE600" i="1"/>
  <c r="BC600" i="1"/>
  <c r="BB600" i="1"/>
  <c r="BA600" i="1"/>
  <c r="AZ600" i="1"/>
  <c r="BD600" i="1" s="1"/>
  <c r="AX600" i="1"/>
  <c r="AX699" i="1" s="1"/>
  <c r="AY699" i="1" s="1"/>
  <c r="AZ699" i="1" s="1"/>
  <c r="BA699" i="1" s="1"/>
  <c r="BB699" i="1" s="1"/>
  <c r="BC699" i="1" s="1"/>
  <c r="BD699" i="1" s="1"/>
  <c r="BE699" i="1" s="1"/>
  <c r="BF699" i="1" s="1"/>
  <c r="BG699" i="1" s="1"/>
  <c r="AW600" i="1"/>
  <c r="AV600" i="1"/>
  <c r="AU600" i="1"/>
  <c r="AY600" i="1" s="1"/>
  <c r="AT600" i="1"/>
  <c r="AS600" i="1"/>
  <c r="AR600" i="1"/>
  <c r="AQ600" i="1"/>
  <c r="AP600" i="1"/>
  <c r="AO600" i="1"/>
  <c r="AN600" i="1"/>
  <c r="AM600" i="1"/>
  <c r="AL600" i="1"/>
  <c r="AK600" i="1"/>
  <c r="AJ600" i="1"/>
  <c r="AI600" i="1"/>
  <c r="AH600" i="1"/>
  <c r="AG600" i="1"/>
  <c r="AF600" i="1"/>
  <c r="AE600" i="1"/>
  <c r="AD600" i="1"/>
  <c r="AC600" i="1"/>
  <c r="AB600" i="1"/>
  <c r="AA600" i="1"/>
  <c r="Z600" i="1"/>
  <c r="Y600" i="1"/>
  <c r="X600" i="1"/>
  <c r="W600" i="1"/>
  <c r="V600" i="1"/>
  <c r="U600" i="1"/>
  <c r="T600" i="1"/>
  <c r="S600" i="1"/>
  <c r="R600" i="1"/>
  <c r="Q600" i="1"/>
  <c r="P600" i="1"/>
  <c r="O600" i="1"/>
  <c r="N600" i="1"/>
  <c r="M600" i="1"/>
  <c r="L600" i="1"/>
  <c r="K600" i="1"/>
  <c r="J600" i="1"/>
  <c r="I600" i="1"/>
  <c r="H600" i="1"/>
  <c r="G600" i="1"/>
  <c r="F600" i="1"/>
  <c r="E600" i="1"/>
  <c r="D600" i="1"/>
  <c r="C600" i="1"/>
  <c r="A600" i="1"/>
  <c r="BD599" i="1"/>
  <c r="AW599" i="1"/>
  <c r="AV599" i="1"/>
  <c r="AY599" i="1" s="1"/>
  <c r="AU599" i="1"/>
  <c r="AT599" i="1"/>
  <c r="AR599" i="1"/>
  <c r="AQ599" i="1"/>
  <c r="AP599" i="1"/>
  <c r="AO599" i="1"/>
  <c r="AM599" i="1"/>
  <c r="AL599" i="1"/>
  <c r="AK599" i="1"/>
  <c r="AJ599" i="1"/>
  <c r="AH599" i="1"/>
  <c r="AG599" i="1"/>
  <c r="AF599" i="1"/>
  <c r="AE599" i="1"/>
  <c r="AC599" i="1"/>
  <c r="AB599" i="1"/>
  <c r="AA599" i="1"/>
  <c r="Z599" i="1"/>
  <c r="X599" i="1"/>
  <c r="W599" i="1"/>
  <c r="V599" i="1"/>
  <c r="U599" i="1"/>
  <c r="T599" i="1"/>
  <c r="S599" i="1"/>
  <c r="R599" i="1"/>
  <c r="Q599" i="1"/>
  <c r="P599" i="1"/>
  <c r="O599" i="1"/>
  <c r="N599" i="1"/>
  <c r="M599" i="1"/>
  <c r="L599" i="1"/>
  <c r="K599" i="1"/>
  <c r="J599" i="1"/>
  <c r="I599" i="1"/>
  <c r="H599" i="1"/>
  <c r="G599" i="1"/>
  <c r="F599" i="1"/>
  <c r="E599" i="1"/>
  <c r="D599" i="1"/>
  <c r="C599" i="1"/>
  <c r="A599" i="1"/>
  <c r="BD598" i="1"/>
  <c r="AY598" i="1"/>
  <c r="AW598" i="1"/>
  <c r="AV598" i="1"/>
  <c r="AU598" i="1"/>
  <c r="AT598" i="1"/>
  <c r="AR598" i="1"/>
  <c r="AQ598" i="1"/>
  <c r="AP598" i="1"/>
  <c r="AO598" i="1"/>
  <c r="AM598" i="1"/>
  <c r="AL598" i="1"/>
  <c r="AK598" i="1"/>
  <c r="AJ598" i="1"/>
  <c r="AH598" i="1"/>
  <c r="AG598" i="1"/>
  <c r="AF598" i="1"/>
  <c r="AE598" i="1"/>
  <c r="AC598" i="1"/>
  <c r="AB598" i="1"/>
  <c r="AA598" i="1"/>
  <c r="Z598" i="1"/>
  <c r="X598" i="1"/>
  <c r="W598" i="1"/>
  <c r="V598" i="1"/>
  <c r="U598" i="1"/>
  <c r="T598" i="1"/>
  <c r="S598" i="1"/>
  <c r="R598" i="1"/>
  <c r="Q598" i="1"/>
  <c r="P598" i="1"/>
  <c r="O598" i="1"/>
  <c r="N598" i="1"/>
  <c r="M598" i="1"/>
  <c r="L598" i="1"/>
  <c r="K598" i="1"/>
  <c r="J598" i="1"/>
  <c r="I598" i="1"/>
  <c r="H598" i="1"/>
  <c r="G598" i="1"/>
  <c r="F598" i="1"/>
  <c r="E598" i="1"/>
  <c r="D598" i="1"/>
  <c r="C598" i="1"/>
  <c r="A598" i="1"/>
  <c r="BD597" i="1"/>
  <c r="AW597" i="1"/>
  <c r="AV597" i="1"/>
  <c r="AY597" i="1" s="1"/>
  <c r="AU597" i="1"/>
  <c r="AT597" i="1"/>
  <c r="AR597" i="1"/>
  <c r="AQ597" i="1"/>
  <c r="AP597" i="1"/>
  <c r="AO597" i="1"/>
  <c r="AM597" i="1"/>
  <c r="AL597" i="1"/>
  <c r="AK597" i="1"/>
  <c r="AJ597" i="1"/>
  <c r="AH597" i="1"/>
  <c r="AG597" i="1"/>
  <c r="AF597" i="1"/>
  <c r="AE597" i="1"/>
  <c r="AC597" i="1"/>
  <c r="AB597" i="1"/>
  <c r="AA597" i="1"/>
  <c r="Z597" i="1"/>
  <c r="X597" i="1"/>
  <c r="W597" i="1"/>
  <c r="V597" i="1"/>
  <c r="U597" i="1"/>
  <c r="T597" i="1"/>
  <c r="S597" i="1"/>
  <c r="R597" i="1"/>
  <c r="Q597" i="1"/>
  <c r="P597" i="1"/>
  <c r="O597" i="1"/>
  <c r="N597" i="1"/>
  <c r="M597" i="1"/>
  <c r="L597" i="1"/>
  <c r="K597" i="1"/>
  <c r="J597" i="1"/>
  <c r="I597" i="1"/>
  <c r="H597" i="1"/>
  <c r="G597" i="1"/>
  <c r="F597" i="1"/>
  <c r="E597" i="1"/>
  <c r="D597" i="1"/>
  <c r="C597" i="1"/>
  <c r="A597" i="1"/>
  <c r="BD596" i="1"/>
  <c r="AY596" i="1"/>
  <c r="AW596" i="1"/>
  <c r="AV596" i="1"/>
  <c r="AU596" i="1"/>
  <c r="AT596" i="1"/>
  <c r="AR596" i="1"/>
  <c r="AQ596" i="1"/>
  <c r="AP596" i="1"/>
  <c r="AO596" i="1"/>
  <c r="AM596" i="1"/>
  <c r="AL596" i="1"/>
  <c r="AK596" i="1"/>
  <c r="AJ596" i="1"/>
  <c r="AH596" i="1"/>
  <c r="AG596" i="1"/>
  <c r="AF596" i="1"/>
  <c r="AE596" i="1"/>
  <c r="AC596" i="1"/>
  <c r="AB596" i="1"/>
  <c r="AA596" i="1"/>
  <c r="Z596" i="1"/>
  <c r="X596" i="1"/>
  <c r="W596" i="1"/>
  <c r="V596" i="1"/>
  <c r="U596" i="1"/>
  <c r="T596" i="1"/>
  <c r="S596" i="1"/>
  <c r="R596" i="1"/>
  <c r="Q596" i="1"/>
  <c r="P596" i="1"/>
  <c r="O596" i="1"/>
  <c r="N596" i="1"/>
  <c r="M596" i="1"/>
  <c r="L596" i="1"/>
  <c r="K596" i="1"/>
  <c r="J596" i="1"/>
  <c r="I596" i="1"/>
  <c r="H596" i="1"/>
  <c r="G596" i="1"/>
  <c r="F596" i="1"/>
  <c r="E596" i="1"/>
  <c r="D596" i="1"/>
  <c r="C596" i="1"/>
  <c r="A596" i="1"/>
  <c r="BD595" i="1"/>
  <c r="AW595" i="1"/>
  <c r="AV595" i="1"/>
  <c r="AY595" i="1" s="1"/>
  <c r="AU595" i="1"/>
  <c r="AT595" i="1"/>
  <c r="AR595" i="1"/>
  <c r="AQ595" i="1"/>
  <c r="AP595" i="1"/>
  <c r="AO595" i="1"/>
  <c r="AM595" i="1"/>
  <c r="AL595" i="1"/>
  <c r="AK595" i="1"/>
  <c r="AJ595" i="1"/>
  <c r="AH595" i="1"/>
  <c r="AG595" i="1"/>
  <c r="AF595" i="1"/>
  <c r="AE595" i="1"/>
  <c r="AC595" i="1"/>
  <c r="AB595" i="1"/>
  <c r="AA595" i="1"/>
  <c r="Z595" i="1"/>
  <c r="X595" i="1"/>
  <c r="W595" i="1"/>
  <c r="V595" i="1"/>
  <c r="U595" i="1"/>
  <c r="T595" i="1"/>
  <c r="S595" i="1"/>
  <c r="R595" i="1"/>
  <c r="Q595" i="1"/>
  <c r="P595" i="1"/>
  <c r="O595" i="1"/>
  <c r="N595" i="1"/>
  <c r="M595" i="1"/>
  <c r="L595" i="1"/>
  <c r="K595" i="1"/>
  <c r="J595" i="1"/>
  <c r="I595" i="1"/>
  <c r="H595" i="1"/>
  <c r="G595" i="1"/>
  <c r="F595" i="1"/>
  <c r="E595" i="1"/>
  <c r="D595" i="1"/>
  <c r="C595" i="1"/>
  <c r="A595" i="1"/>
  <c r="BD594" i="1"/>
  <c r="AY594" i="1"/>
  <c r="AW594" i="1"/>
  <c r="AV594" i="1"/>
  <c r="AU594" i="1"/>
  <c r="AT594" i="1"/>
  <c r="AR594" i="1"/>
  <c r="AQ594" i="1"/>
  <c r="AP594" i="1"/>
  <c r="AO594" i="1"/>
  <c r="AM594" i="1"/>
  <c r="AL594" i="1"/>
  <c r="AK594" i="1"/>
  <c r="AJ594" i="1"/>
  <c r="AH594" i="1"/>
  <c r="AG594" i="1"/>
  <c r="AF594" i="1"/>
  <c r="AE594" i="1"/>
  <c r="AC594" i="1"/>
  <c r="AB594" i="1"/>
  <c r="AA594" i="1"/>
  <c r="Z594" i="1"/>
  <c r="X594" i="1"/>
  <c r="W594" i="1"/>
  <c r="V594" i="1"/>
  <c r="U594" i="1"/>
  <c r="T594" i="1"/>
  <c r="S594" i="1"/>
  <c r="R594" i="1"/>
  <c r="Q594" i="1"/>
  <c r="P594" i="1"/>
  <c r="O594" i="1"/>
  <c r="N594" i="1"/>
  <c r="M594" i="1"/>
  <c r="L594" i="1"/>
  <c r="K594" i="1"/>
  <c r="J594" i="1"/>
  <c r="I594" i="1"/>
  <c r="H594" i="1"/>
  <c r="G594" i="1"/>
  <c r="F594" i="1"/>
  <c r="E594" i="1"/>
  <c r="D594" i="1"/>
  <c r="C594" i="1"/>
  <c r="A594" i="1"/>
  <c r="BG593" i="1"/>
  <c r="BF593" i="1"/>
  <c r="BE593" i="1"/>
  <c r="BC593" i="1"/>
  <c r="BB593" i="1"/>
  <c r="BA593" i="1"/>
  <c r="AZ593" i="1"/>
  <c r="BD593" i="1" s="1"/>
  <c r="AX593" i="1"/>
  <c r="AW593" i="1"/>
  <c r="AV593" i="1"/>
  <c r="AU593" i="1"/>
  <c r="AY593" i="1" s="1"/>
  <c r="AT593" i="1"/>
  <c r="AR593" i="1"/>
  <c r="AQ593" i="1"/>
  <c r="AP593" i="1"/>
  <c r="AO593" i="1"/>
  <c r="AM593" i="1"/>
  <c r="AL593" i="1"/>
  <c r="AK593" i="1"/>
  <c r="AJ593" i="1"/>
  <c r="AH593" i="1"/>
  <c r="AG593" i="1"/>
  <c r="AF593" i="1"/>
  <c r="AE593" i="1"/>
  <c r="AC593" i="1"/>
  <c r="AB593" i="1"/>
  <c r="AA593" i="1"/>
  <c r="Z593" i="1"/>
  <c r="X593" i="1"/>
  <c r="W593" i="1"/>
  <c r="V593" i="1"/>
  <c r="U593" i="1"/>
  <c r="T593" i="1"/>
  <c r="S593" i="1"/>
  <c r="R593" i="1"/>
  <c r="Q593" i="1"/>
  <c r="P593" i="1"/>
  <c r="O593" i="1"/>
  <c r="N593" i="1"/>
  <c r="M593" i="1"/>
  <c r="L593" i="1"/>
  <c r="K593" i="1"/>
  <c r="J593" i="1"/>
  <c r="I593" i="1"/>
  <c r="H593" i="1"/>
  <c r="G593" i="1"/>
  <c r="F593" i="1"/>
  <c r="E593" i="1"/>
  <c r="D593" i="1"/>
  <c r="C593" i="1"/>
  <c r="A593" i="1"/>
  <c r="BD592" i="1"/>
  <c r="AY592" i="1"/>
  <c r="AW592" i="1"/>
  <c r="AV592" i="1"/>
  <c r="AU592" i="1"/>
  <c r="AT592" i="1"/>
  <c r="AR592" i="1"/>
  <c r="AQ592" i="1"/>
  <c r="AP592" i="1"/>
  <c r="AO592" i="1"/>
  <c r="AM592" i="1"/>
  <c r="AL592" i="1"/>
  <c r="AK592" i="1"/>
  <c r="AJ592" i="1"/>
  <c r="AH592" i="1"/>
  <c r="AG592" i="1"/>
  <c r="AF592" i="1"/>
  <c r="AE592" i="1"/>
  <c r="AC592" i="1"/>
  <c r="AB592" i="1"/>
  <c r="AA592" i="1"/>
  <c r="Z592" i="1"/>
  <c r="X592" i="1"/>
  <c r="W592" i="1"/>
  <c r="V592" i="1"/>
  <c r="U592" i="1"/>
  <c r="T592" i="1"/>
  <c r="S592" i="1"/>
  <c r="R592" i="1"/>
  <c r="Q592" i="1"/>
  <c r="P592" i="1"/>
  <c r="O592" i="1"/>
  <c r="N592" i="1"/>
  <c r="M592" i="1"/>
  <c r="L592" i="1"/>
  <c r="K592" i="1"/>
  <c r="J592" i="1"/>
  <c r="I592" i="1"/>
  <c r="H592" i="1"/>
  <c r="G592" i="1"/>
  <c r="F592" i="1"/>
  <c r="E592" i="1"/>
  <c r="D592" i="1"/>
  <c r="C592" i="1"/>
  <c r="A592" i="1"/>
  <c r="BD591" i="1"/>
  <c r="AW591" i="1"/>
  <c r="AW605" i="1" s="1"/>
  <c r="AV591" i="1"/>
  <c r="AY591" i="1" s="1"/>
  <c r="AU591" i="1"/>
  <c r="AU605" i="1" s="1"/>
  <c r="AT591" i="1"/>
  <c r="AT605" i="1" s="1"/>
  <c r="AR591" i="1"/>
  <c r="AR605" i="1" s="1"/>
  <c r="AQ591" i="1"/>
  <c r="AQ605" i="1" s="1"/>
  <c r="AP591" i="1"/>
  <c r="AP605" i="1" s="1"/>
  <c r="AO591" i="1"/>
  <c r="AO605" i="1" s="1"/>
  <c r="AM591" i="1"/>
  <c r="AM605" i="1" s="1"/>
  <c r="AL591" i="1"/>
  <c r="AL605" i="1" s="1"/>
  <c r="AK591" i="1"/>
  <c r="AK605" i="1" s="1"/>
  <c r="AJ591" i="1"/>
  <c r="AJ605" i="1" s="1"/>
  <c r="AH591" i="1"/>
  <c r="AH605" i="1" s="1"/>
  <c r="AG591" i="1"/>
  <c r="AG605" i="1" s="1"/>
  <c r="AF591" i="1"/>
  <c r="AF605" i="1" s="1"/>
  <c r="AE591" i="1"/>
  <c r="AE605" i="1" s="1"/>
  <c r="AC591" i="1"/>
  <c r="AC605" i="1" s="1"/>
  <c r="AB591" i="1"/>
  <c r="AB605" i="1" s="1"/>
  <c r="AA591" i="1"/>
  <c r="AA605" i="1" s="1"/>
  <c r="Z591" i="1"/>
  <c r="Z605" i="1" s="1"/>
  <c r="X591" i="1"/>
  <c r="X605" i="1" s="1"/>
  <c r="W591" i="1"/>
  <c r="W605" i="1" s="1"/>
  <c r="V591" i="1"/>
  <c r="V605" i="1" s="1"/>
  <c r="U591" i="1"/>
  <c r="U605" i="1" s="1"/>
  <c r="T591" i="1"/>
  <c r="T605" i="1" s="1"/>
  <c r="S591" i="1"/>
  <c r="S605" i="1" s="1"/>
  <c r="R591" i="1"/>
  <c r="R605" i="1" s="1"/>
  <c r="Q591" i="1"/>
  <c r="Q605" i="1" s="1"/>
  <c r="P591" i="1"/>
  <c r="P605" i="1" s="1"/>
  <c r="O591" i="1"/>
  <c r="O605" i="1" s="1"/>
  <c r="N591" i="1"/>
  <c r="N605" i="1" s="1"/>
  <c r="M591" i="1"/>
  <c r="M605" i="1" s="1"/>
  <c r="L591" i="1"/>
  <c r="L605" i="1" s="1"/>
  <c r="K591" i="1"/>
  <c r="K605" i="1" s="1"/>
  <c r="J591" i="1"/>
  <c r="J605" i="1" s="1"/>
  <c r="I591" i="1"/>
  <c r="I605" i="1" s="1"/>
  <c r="H591" i="1"/>
  <c r="H605" i="1" s="1"/>
  <c r="G591" i="1"/>
  <c r="G605" i="1" s="1"/>
  <c r="F591" i="1"/>
  <c r="F605" i="1" s="1"/>
  <c r="E591" i="1"/>
  <c r="E605" i="1" s="1"/>
  <c r="D591" i="1"/>
  <c r="D605" i="1" s="1"/>
  <c r="C591" i="1"/>
  <c r="C605" i="1" s="1"/>
  <c r="A591" i="1"/>
  <c r="A590" i="1"/>
  <c r="A588" i="1"/>
  <c r="BD587" i="1"/>
  <c r="AW587" i="1"/>
  <c r="AV587" i="1"/>
  <c r="AU587" i="1"/>
  <c r="AY587" i="1" s="1"/>
  <c r="AT587" i="1"/>
  <c r="AR587" i="1"/>
  <c r="AQ587" i="1"/>
  <c r="AP587" i="1"/>
  <c r="AO587" i="1"/>
  <c r="AM587" i="1"/>
  <c r="AL587" i="1"/>
  <c r="AK587" i="1"/>
  <c r="AJ587" i="1"/>
  <c r="AH587" i="1"/>
  <c r="AG587" i="1"/>
  <c r="AF587" i="1"/>
  <c r="AE587" i="1"/>
  <c r="AC587" i="1"/>
  <c r="AB587" i="1"/>
  <c r="AA587" i="1"/>
  <c r="Z587" i="1"/>
  <c r="X587" i="1"/>
  <c r="W587" i="1"/>
  <c r="V587" i="1"/>
  <c r="U587" i="1"/>
  <c r="T587" i="1"/>
  <c r="S587" i="1"/>
  <c r="R587" i="1"/>
  <c r="Q587" i="1"/>
  <c r="P587" i="1"/>
  <c r="O587" i="1"/>
  <c r="N587" i="1"/>
  <c r="M587" i="1"/>
  <c r="L587" i="1"/>
  <c r="K587" i="1"/>
  <c r="J587" i="1"/>
  <c r="I587" i="1"/>
  <c r="H587" i="1"/>
  <c r="G587" i="1"/>
  <c r="F587" i="1"/>
  <c r="E587" i="1"/>
  <c r="D587" i="1"/>
  <c r="C587" i="1"/>
  <c r="A587" i="1"/>
  <c r="BD586" i="1"/>
  <c r="AW586" i="1"/>
  <c r="AV586" i="1"/>
  <c r="AU586" i="1"/>
  <c r="AY586" i="1" s="1"/>
  <c r="AT586" i="1"/>
  <c r="AR586" i="1"/>
  <c r="AQ586" i="1"/>
  <c r="AP586" i="1"/>
  <c r="AO586" i="1"/>
  <c r="AM586" i="1"/>
  <c r="AL586" i="1"/>
  <c r="AK586" i="1"/>
  <c r="AJ586" i="1"/>
  <c r="AH586" i="1"/>
  <c r="AG586" i="1"/>
  <c r="AF586" i="1"/>
  <c r="AE586" i="1"/>
  <c r="AC586" i="1"/>
  <c r="AB586" i="1"/>
  <c r="AA586" i="1"/>
  <c r="Z586" i="1"/>
  <c r="X586" i="1"/>
  <c r="W586" i="1"/>
  <c r="V586" i="1"/>
  <c r="U586" i="1"/>
  <c r="T586" i="1"/>
  <c r="S586" i="1"/>
  <c r="R586" i="1"/>
  <c r="Q586" i="1"/>
  <c r="P586" i="1"/>
  <c r="O586" i="1"/>
  <c r="N586" i="1"/>
  <c r="M586" i="1"/>
  <c r="L586" i="1"/>
  <c r="K586" i="1"/>
  <c r="J586" i="1"/>
  <c r="I586" i="1"/>
  <c r="H586" i="1"/>
  <c r="G586" i="1"/>
  <c r="F586" i="1"/>
  <c r="E586" i="1"/>
  <c r="D586" i="1"/>
  <c r="C586" i="1"/>
  <c r="A586" i="1"/>
  <c r="BD585" i="1"/>
  <c r="AW585" i="1"/>
  <c r="AV585" i="1"/>
  <c r="AU585" i="1"/>
  <c r="AY585" i="1" s="1"/>
  <c r="AT585" i="1"/>
  <c r="AR585" i="1"/>
  <c r="AQ585" i="1"/>
  <c r="AP585" i="1"/>
  <c r="AO585" i="1"/>
  <c r="AM585" i="1"/>
  <c r="AL585" i="1"/>
  <c r="AK585" i="1"/>
  <c r="AJ585" i="1"/>
  <c r="AH585" i="1"/>
  <c r="AG585" i="1"/>
  <c r="AF585" i="1"/>
  <c r="AE585" i="1"/>
  <c r="AC585" i="1"/>
  <c r="AB585" i="1"/>
  <c r="AA585" i="1"/>
  <c r="Z585" i="1"/>
  <c r="X585" i="1"/>
  <c r="W585" i="1"/>
  <c r="V585" i="1"/>
  <c r="U585" i="1"/>
  <c r="T585" i="1"/>
  <c r="S585" i="1"/>
  <c r="R585" i="1"/>
  <c r="Q585" i="1"/>
  <c r="P585" i="1"/>
  <c r="O585" i="1"/>
  <c r="N585" i="1"/>
  <c r="M585" i="1"/>
  <c r="L585" i="1"/>
  <c r="K585" i="1"/>
  <c r="J585" i="1"/>
  <c r="I585" i="1"/>
  <c r="H585" i="1"/>
  <c r="G585" i="1"/>
  <c r="F585" i="1"/>
  <c r="E585" i="1"/>
  <c r="D585" i="1"/>
  <c r="C585" i="1"/>
  <c r="A585" i="1"/>
  <c r="BG584" i="1"/>
  <c r="BF584" i="1"/>
  <c r="BE584" i="1"/>
  <c r="BC584" i="1"/>
  <c r="BB584" i="1"/>
  <c r="BA584" i="1"/>
  <c r="AZ584" i="1"/>
  <c r="BD584" i="1" s="1"/>
  <c r="AX584" i="1"/>
  <c r="AW584" i="1"/>
  <c r="AV584" i="1"/>
  <c r="AU584" i="1"/>
  <c r="AY584" i="1" s="1"/>
  <c r="AT584" i="1"/>
  <c r="AS584" i="1"/>
  <c r="AR584" i="1"/>
  <c r="AQ584" i="1"/>
  <c r="AP584" i="1"/>
  <c r="AO584" i="1"/>
  <c r="AN584" i="1"/>
  <c r="AM584" i="1"/>
  <c r="AL584" i="1"/>
  <c r="AK584" i="1"/>
  <c r="AJ584" i="1"/>
  <c r="AI584" i="1"/>
  <c r="AH584" i="1"/>
  <c r="AG584" i="1"/>
  <c r="AF584" i="1"/>
  <c r="AE584" i="1"/>
  <c r="AD584" i="1"/>
  <c r="AC584" i="1"/>
  <c r="AB584" i="1"/>
  <c r="AA584" i="1"/>
  <c r="Z584" i="1"/>
  <c r="Y584" i="1"/>
  <c r="X584" i="1"/>
  <c r="W584" i="1"/>
  <c r="V584" i="1"/>
  <c r="U584" i="1"/>
  <c r="T584" i="1"/>
  <c r="S584" i="1"/>
  <c r="R584" i="1"/>
  <c r="Q584" i="1"/>
  <c r="P584" i="1"/>
  <c r="O584" i="1"/>
  <c r="N584" i="1"/>
  <c r="M584" i="1"/>
  <c r="L584" i="1"/>
  <c r="K584" i="1"/>
  <c r="J584" i="1"/>
  <c r="I584" i="1"/>
  <c r="H584" i="1"/>
  <c r="G584" i="1"/>
  <c r="F584" i="1"/>
  <c r="E584" i="1"/>
  <c r="D584" i="1"/>
  <c r="C584" i="1"/>
  <c r="A584" i="1"/>
  <c r="BD583" i="1"/>
  <c r="AW583" i="1"/>
  <c r="AV583" i="1"/>
  <c r="AU583" i="1"/>
  <c r="AY583" i="1" s="1"/>
  <c r="AT583" i="1"/>
  <c r="AR583" i="1"/>
  <c r="AQ583" i="1"/>
  <c r="AP583" i="1"/>
  <c r="AO583" i="1"/>
  <c r="AM583" i="1"/>
  <c r="AL583" i="1"/>
  <c r="AK583" i="1"/>
  <c r="AJ583" i="1"/>
  <c r="AH583" i="1"/>
  <c r="AG583" i="1"/>
  <c r="AF583" i="1"/>
  <c r="AE583" i="1"/>
  <c r="AC583" i="1"/>
  <c r="AB583" i="1"/>
  <c r="AA583" i="1"/>
  <c r="Z583" i="1"/>
  <c r="X583" i="1"/>
  <c r="W583" i="1"/>
  <c r="V583" i="1"/>
  <c r="U583" i="1"/>
  <c r="T583" i="1"/>
  <c r="S583" i="1"/>
  <c r="R583" i="1"/>
  <c r="Q583" i="1"/>
  <c r="P583" i="1"/>
  <c r="O583" i="1"/>
  <c r="N583" i="1"/>
  <c r="M583" i="1"/>
  <c r="L583" i="1"/>
  <c r="K583" i="1"/>
  <c r="J583" i="1"/>
  <c r="I583" i="1"/>
  <c r="H583" i="1"/>
  <c r="G583" i="1"/>
  <c r="F583" i="1"/>
  <c r="E583" i="1"/>
  <c r="D583" i="1"/>
  <c r="C583" i="1"/>
  <c r="A583" i="1"/>
  <c r="BG582" i="1"/>
  <c r="BF582" i="1"/>
  <c r="BE582" i="1"/>
  <c r="BC582" i="1"/>
  <c r="BB582" i="1"/>
  <c r="BA582" i="1"/>
  <c r="AZ582" i="1"/>
  <c r="BD582" i="1" s="1"/>
  <c r="AX582" i="1"/>
  <c r="AW582" i="1"/>
  <c r="AV582" i="1"/>
  <c r="AU582" i="1"/>
  <c r="AY582" i="1" s="1"/>
  <c r="AT582" i="1"/>
  <c r="AR582" i="1"/>
  <c r="AQ582" i="1"/>
  <c r="AP582" i="1"/>
  <c r="AO582" i="1"/>
  <c r="AM582" i="1"/>
  <c r="AL582" i="1"/>
  <c r="AK582" i="1"/>
  <c r="AJ582" i="1"/>
  <c r="AH582" i="1"/>
  <c r="AG582" i="1"/>
  <c r="AF582" i="1"/>
  <c r="AE582" i="1"/>
  <c r="AC582" i="1"/>
  <c r="AB582" i="1"/>
  <c r="AA582" i="1"/>
  <c r="Z582" i="1"/>
  <c r="X582" i="1"/>
  <c r="W582" i="1"/>
  <c r="V582" i="1"/>
  <c r="U582" i="1"/>
  <c r="T582" i="1"/>
  <c r="S582" i="1"/>
  <c r="R582" i="1"/>
  <c r="Q582" i="1"/>
  <c r="P582" i="1"/>
  <c r="O582" i="1"/>
  <c r="N582" i="1"/>
  <c r="M582" i="1"/>
  <c r="L582" i="1"/>
  <c r="K582" i="1"/>
  <c r="J582" i="1"/>
  <c r="I582" i="1"/>
  <c r="H582" i="1"/>
  <c r="G582" i="1"/>
  <c r="F582" i="1"/>
  <c r="E582" i="1"/>
  <c r="D582" i="1"/>
  <c r="C582" i="1"/>
  <c r="A582" i="1"/>
  <c r="BD581" i="1"/>
  <c r="AW581" i="1"/>
  <c r="AV581" i="1"/>
  <c r="AU581" i="1"/>
  <c r="AY581" i="1" s="1"/>
  <c r="AT581" i="1"/>
  <c r="AR581" i="1"/>
  <c r="AQ581" i="1"/>
  <c r="AP581" i="1"/>
  <c r="AO581" i="1"/>
  <c r="AM581" i="1"/>
  <c r="AL581" i="1"/>
  <c r="AK581" i="1"/>
  <c r="AJ581" i="1"/>
  <c r="AH581" i="1"/>
  <c r="AG581" i="1"/>
  <c r="AF581" i="1"/>
  <c r="AE581" i="1"/>
  <c r="AC581" i="1"/>
  <c r="AB581" i="1"/>
  <c r="AA581" i="1"/>
  <c r="Z581" i="1"/>
  <c r="X581" i="1"/>
  <c r="W581" i="1"/>
  <c r="V581" i="1"/>
  <c r="U581" i="1"/>
  <c r="T581" i="1"/>
  <c r="S581" i="1"/>
  <c r="R581" i="1"/>
  <c r="Q581" i="1"/>
  <c r="P581" i="1"/>
  <c r="O581" i="1"/>
  <c r="N581" i="1"/>
  <c r="M581" i="1"/>
  <c r="L581" i="1"/>
  <c r="K581" i="1"/>
  <c r="J581" i="1"/>
  <c r="I581" i="1"/>
  <c r="H581" i="1"/>
  <c r="G581" i="1"/>
  <c r="F581" i="1"/>
  <c r="E581" i="1"/>
  <c r="D581" i="1"/>
  <c r="C581" i="1"/>
  <c r="A581" i="1"/>
  <c r="BD580" i="1"/>
  <c r="AW580" i="1"/>
  <c r="AV580" i="1"/>
  <c r="AU580" i="1"/>
  <c r="AY580" i="1" s="1"/>
  <c r="AT580" i="1"/>
  <c r="AR580" i="1"/>
  <c r="AQ580" i="1"/>
  <c r="AP580" i="1"/>
  <c r="AO580" i="1"/>
  <c r="AM580" i="1"/>
  <c r="AL580" i="1"/>
  <c r="AK580" i="1"/>
  <c r="AJ580" i="1"/>
  <c r="AH580" i="1"/>
  <c r="AG580" i="1"/>
  <c r="AF580" i="1"/>
  <c r="AE580" i="1"/>
  <c r="AC580" i="1"/>
  <c r="AB580" i="1"/>
  <c r="AA580" i="1"/>
  <c r="Z580" i="1"/>
  <c r="X580" i="1"/>
  <c r="W580" i="1"/>
  <c r="V580" i="1"/>
  <c r="U580" i="1"/>
  <c r="T580" i="1"/>
  <c r="S580" i="1"/>
  <c r="R580" i="1"/>
  <c r="Q580" i="1"/>
  <c r="P580" i="1"/>
  <c r="O580" i="1"/>
  <c r="N580" i="1"/>
  <c r="M580" i="1"/>
  <c r="L580" i="1"/>
  <c r="K580" i="1"/>
  <c r="J580" i="1"/>
  <c r="I580" i="1"/>
  <c r="H580" i="1"/>
  <c r="G580" i="1"/>
  <c r="F580" i="1"/>
  <c r="E580" i="1"/>
  <c r="D580" i="1"/>
  <c r="C580" i="1"/>
  <c r="A580" i="1"/>
  <c r="BG579" i="1"/>
  <c r="BG719" i="1" s="1"/>
  <c r="BF579" i="1"/>
  <c r="BF719" i="1" s="1"/>
  <c r="BE579" i="1"/>
  <c r="BE719" i="1" s="1"/>
  <c r="BC579" i="1"/>
  <c r="BC719" i="1" s="1"/>
  <c r="BB579" i="1"/>
  <c r="BB719" i="1" s="1"/>
  <c r="BA579" i="1"/>
  <c r="BA719" i="1" s="1"/>
  <c r="AZ579" i="1"/>
  <c r="AZ719" i="1" s="1"/>
  <c r="AX579" i="1"/>
  <c r="AX719" i="1" s="1"/>
  <c r="AW579" i="1"/>
  <c r="AV579" i="1"/>
  <c r="AU579" i="1"/>
  <c r="AY579" i="1" s="1"/>
  <c r="AT579" i="1"/>
  <c r="AR579" i="1"/>
  <c r="AQ579" i="1"/>
  <c r="AP579" i="1"/>
  <c r="AO579" i="1"/>
  <c r="AM579" i="1"/>
  <c r="AL579" i="1"/>
  <c r="AK579" i="1"/>
  <c r="AJ579" i="1"/>
  <c r="AH579" i="1"/>
  <c r="AG579" i="1"/>
  <c r="AF579" i="1"/>
  <c r="AE579" i="1"/>
  <c r="AC579" i="1"/>
  <c r="AB579" i="1"/>
  <c r="AA579" i="1"/>
  <c r="Z579" i="1"/>
  <c r="X579" i="1"/>
  <c r="W579" i="1"/>
  <c r="V579" i="1"/>
  <c r="U579" i="1"/>
  <c r="T579" i="1"/>
  <c r="S579" i="1"/>
  <c r="R579" i="1"/>
  <c r="Q579" i="1"/>
  <c r="P579" i="1"/>
  <c r="O579" i="1"/>
  <c r="N579" i="1"/>
  <c r="M579" i="1"/>
  <c r="L579" i="1"/>
  <c r="K579" i="1"/>
  <c r="J579" i="1"/>
  <c r="I579" i="1"/>
  <c r="H579" i="1"/>
  <c r="G579" i="1"/>
  <c r="F579" i="1"/>
  <c r="E579" i="1"/>
  <c r="D579" i="1"/>
  <c r="C579" i="1"/>
  <c r="A579" i="1"/>
  <c r="BD578" i="1"/>
  <c r="AW578" i="1"/>
  <c r="AV578" i="1"/>
  <c r="AU578" i="1"/>
  <c r="AT578" i="1"/>
  <c r="AR578" i="1"/>
  <c r="AQ578" i="1"/>
  <c r="AP578" i="1"/>
  <c r="AO578" i="1"/>
  <c r="AM578" i="1"/>
  <c r="AL578" i="1"/>
  <c r="AK578" i="1"/>
  <c r="AJ578" i="1"/>
  <c r="AH578" i="1"/>
  <c r="AG578" i="1"/>
  <c r="AF578" i="1"/>
  <c r="AE578" i="1"/>
  <c r="AC578" i="1"/>
  <c r="AB578" i="1"/>
  <c r="AA578" i="1"/>
  <c r="Z578" i="1"/>
  <c r="X578" i="1"/>
  <c r="W578" i="1"/>
  <c r="V578" i="1"/>
  <c r="U578" i="1"/>
  <c r="T578" i="1"/>
  <c r="S578" i="1"/>
  <c r="R578" i="1"/>
  <c r="Q578" i="1"/>
  <c r="P578" i="1"/>
  <c r="O578" i="1"/>
  <c r="N578" i="1"/>
  <c r="M578" i="1"/>
  <c r="L578" i="1"/>
  <c r="K578" i="1"/>
  <c r="J578" i="1"/>
  <c r="I578" i="1"/>
  <c r="H578" i="1"/>
  <c r="G578" i="1"/>
  <c r="F578" i="1"/>
  <c r="E578" i="1"/>
  <c r="D578" i="1"/>
  <c r="C578" i="1"/>
  <c r="A578" i="1"/>
  <c r="A577" i="1"/>
  <c r="A575" i="1"/>
  <c r="BD574" i="1"/>
  <c r="AW574" i="1"/>
  <c r="AV574" i="1"/>
  <c r="AY574" i="1" s="1"/>
  <c r="AU574" i="1"/>
  <c r="AT574" i="1"/>
  <c r="AR574" i="1"/>
  <c r="AQ574" i="1"/>
  <c r="AP574" i="1"/>
  <c r="AO574" i="1"/>
  <c r="AM574" i="1"/>
  <c r="AL574" i="1"/>
  <c r="AK574" i="1"/>
  <c r="AJ574" i="1"/>
  <c r="AH574" i="1"/>
  <c r="AG574" i="1"/>
  <c r="AF574" i="1"/>
  <c r="AE574" i="1"/>
  <c r="AC574" i="1"/>
  <c r="AB574" i="1"/>
  <c r="AA574" i="1"/>
  <c r="Z574" i="1"/>
  <c r="X574" i="1"/>
  <c r="W574" i="1"/>
  <c r="V574" i="1"/>
  <c r="U574" i="1"/>
  <c r="T574" i="1"/>
  <c r="S574" i="1"/>
  <c r="R574" i="1"/>
  <c r="Q574" i="1"/>
  <c r="P574" i="1"/>
  <c r="O574" i="1"/>
  <c r="N574" i="1"/>
  <c r="M574" i="1"/>
  <c r="L574" i="1"/>
  <c r="K574" i="1"/>
  <c r="J574" i="1"/>
  <c r="I574" i="1"/>
  <c r="H574" i="1"/>
  <c r="G574" i="1"/>
  <c r="F574" i="1"/>
  <c r="E574" i="1"/>
  <c r="D574" i="1"/>
  <c r="C574" i="1"/>
  <c r="A574" i="1"/>
  <c r="AW573" i="1"/>
  <c r="AV573" i="1"/>
  <c r="AU573" i="1"/>
  <c r="AT573" i="1"/>
  <c r="AR573" i="1"/>
  <c r="AQ573" i="1"/>
  <c r="AP573" i="1"/>
  <c r="AO573" i="1"/>
  <c r="AM573" i="1"/>
  <c r="AL573" i="1"/>
  <c r="AK573" i="1"/>
  <c r="AJ573" i="1"/>
  <c r="AH573" i="1"/>
  <c r="AG573" i="1"/>
  <c r="AF573" i="1"/>
  <c r="AE573" i="1"/>
  <c r="AC573" i="1"/>
  <c r="AB573" i="1"/>
  <c r="AA573" i="1"/>
  <c r="Z573" i="1"/>
  <c r="X573" i="1"/>
  <c r="W573" i="1"/>
  <c r="V573" i="1"/>
  <c r="U573" i="1"/>
  <c r="T573" i="1"/>
  <c r="S573" i="1"/>
  <c r="R573" i="1"/>
  <c r="Q573" i="1"/>
  <c r="P573" i="1"/>
  <c r="O573" i="1"/>
  <c r="N573" i="1"/>
  <c r="M573" i="1"/>
  <c r="L573" i="1"/>
  <c r="K573" i="1"/>
  <c r="J573" i="1"/>
  <c r="I573" i="1"/>
  <c r="H573" i="1"/>
  <c r="G573" i="1"/>
  <c r="F573" i="1"/>
  <c r="E573" i="1"/>
  <c r="D573" i="1"/>
  <c r="C573" i="1"/>
  <c r="A573" i="1"/>
  <c r="AW572" i="1"/>
  <c r="AV572" i="1"/>
  <c r="AU572" i="1"/>
  <c r="AT572" i="1"/>
  <c r="AR572" i="1"/>
  <c r="AQ572" i="1"/>
  <c r="AP572" i="1"/>
  <c r="AO572" i="1"/>
  <c r="AM572" i="1"/>
  <c r="AL572" i="1"/>
  <c r="AK572" i="1"/>
  <c r="AJ572" i="1"/>
  <c r="AH572" i="1"/>
  <c r="AG572" i="1"/>
  <c r="AF572" i="1"/>
  <c r="AE572" i="1"/>
  <c r="AC572" i="1"/>
  <c r="AB572" i="1"/>
  <c r="AA572" i="1"/>
  <c r="Z572" i="1"/>
  <c r="X572" i="1"/>
  <c r="W572" i="1"/>
  <c r="V572" i="1"/>
  <c r="U572" i="1"/>
  <c r="T572" i="1"/>
  <c r="S572" i="1"/>
  <c r="R572" i="1"/>
  <c r="Q572" i="1"/>
  <c r="P572" i="1"/>
  <c r="O572" i="1"/>
  <c r="N572" i="1"/>
  <c r="M572" i="1"/>
  <c r="L572" i="1"/>
  <c r="K572" i="1"/>
  <c r="J572" i="1"/>
  <c r="I572" i="1"/>
  <c r="H572" i="1"/>
  <c r="G572" i="1"/>
  <c r="F572" i="1"/>
  <c r="E572" i="1"/>
  <c r="D572" i="1"/>
  <c r="C572" i="1"/>
  <c r="A572" i="1"/>
  <c r="AW571" i="1"/>
  <c r="AV571" i="1"/>
  <c r="AU571" i="1"/>
  <c r="AT571" i="1"/>
  <c r="AR571" i="1"/>
  <c r="AQ571" i="1"/>
  <c r="AP571" i="1"/>
  <c r="AO571" i="1"/>
  <c r="AM571" i="1"/>
  <c r="AL571" i="1"/>
  <c r="AK571" i="1"/>
  <c r="AJ571" i="1"/>
  <c r="AH571" i="1"/>
  <c r="AG571" i="1"/>
  <c r="AF571" i="1"/>
  <c r="AE571" i="1"/>
  <c r="AC571" i="1"/>
  <c r="AB571" i="1"/>
  <c r="AA571" i="1"/>
  <c r="Z571" i="1"/>
  <c r="X571" i="1"/>
  <c r="W571" i="1"/>
  <c r="V571" i="1"/>
  <c r="U571" i="1"/>
  <c r="T571" i="1"/>
  <c r="S571" i="1"/>
  <c r="R571" i="1"/>
  <c r="Q571" i="1"/>
  <c r="P571" i="1"/>
  <c r="O571" i="1"/>
  <c r="N571" i="1"/>
  <c r="M571" i="1"/>
  <c r="L571" i="1"/>
  <c r="K571" i="1"/>
  <c r="J571" i="1"/>
  <c r="I571" i="1"/>
  <c r="H571" i="1"/>
  <c r="G571" i="1"/>
  <c r="F571" i="1"/>
  <c r="E571" i="1"/>
  <c r="D571" i="1"/>
  <c r="C571" i="1"/>
  <c r="A571" i="1"/>
  <c r="AW570" i="1"/>
  <c r="AV570" i="1"/>
  <c r="AU570" i="1"/>
  <c r="AT570" i="1"/>
  <c r="AR570" i="1"/>
  <c r="AQ570" i="1"/>
  <c r="AP570" i="1"/>
  <c r="AO570" i="1"/>
  <c r="AM570" i="1"/>
  <c r="AL570" i="1"/>
  <c r="AK570" i="1"/>
  <c r="AJ570" i="1"/>
  <c r="AH570" i="1"/>
  <c r="AG570" i="1"/>
  <c r="AF570" i="1"/>
  <c r="AE570" i="1"/>
  <c r="AC570" i="1"/>
  <c r="AB570" i="1"/>
  <c r="AA570" i="1"/>
  <c r="Z570" i="1"/>
  <c r="X570" i="1"/>
  <c r="W570" i="1"/>
  <c r="V570" i="1"/>
  <c r="U570" i="1"/>
  <c r="T570" i="1"/>
  <c r="S570" i="1"/>
  <c r="R570" i="1"/>
  <c r="Q570" i="1"/>
  <c r="P570" i="1"/>
  <c r="O570" i="1"/>
  <c r="N570" i="1"/>
  <c r="M570" i="1"/>
  <c r="L570" i="1"/>
  <c r="K570" i="1"/>
  <c r="J570" i="1"/>
  <c r="I570" i="1"/>
  <c r="H570" i="1"/>
  <c r="G570" i="1"/>
  <c r="F570" i="1"/>
  <c r="E570" i="1"/>
  <c r="D570" i="1"/>
  <c r="C570" i="1"/>
  <c r="A570" i="1"/>
  <c r="BD569" i="1"/>
  <c r="AW569" i="1"/>
  <c r="AW74" i="9" s="1"/>
  <c r="AV569" i="1"/>
  <c r="AV74" i="9" s="1"/>
  <c r="AU569" i="1"/>
  <c r="AU74" i="9" s="1"/>
  <c r="AT569" i="1"/>
  <c r="AT74" i="9" s="1"/>
  <c r="AR569" i="1"/>
  <c r="AR74" i="9" s="1"/>
  <c r="AQ569" i="1"/>
  <c r="AQ74" i="9" s="1"/>
  <c r="AP569" i="1"/>
  <c r="AP74" i="9" s="1"/>
  <c r="AO569" i="1"/>
  <c r="AO74" i="9" s="1"/>
  <c r="AM569" i="1"/>
  <c r="AM74" i="9" s="1"/>
  <c r="AL569" i="1"/>
  <c r="AL74" i="9" s="1"/>
  <c r="AK569" i="1"/>
  <c r="AK74" i="9" s="1"/>
  <c r="AJ569" i="1"/>
  <c r="AJ74" i="9" s="1"/>
  <c r="AH569" i="1"/>
  <c r="AH74" i="9" s="1"/>
  <c r="AG569" i="1"/>
  <c r="AG74" i="9" s="1"/>
  <c r="AF569" i="1"/>
  <c r="AF74" i="9" s="1"/>
  <c r="AE569" i="1"/>
  <c r="AE74" i="9" s="1"/>
  <c r="AC569" i="1"/>
  <c r="AC74" i="9" s="1"/>
  <c r="AB569" i="1"/>
  <c r="AB74" i="9" s="1"/>
  <c r="AA569" i="1"/>
  <c r="AA74" i="9" s="1"/>
  <c r="Z569" i="1"/>
  <c r="Z74" i="9" s="1"/>
  <c r="X569" i="1"/>
  <c r="X74" i="9" s="1"/>
  <c r="W569" i="1"/>
  <c r="W74" i="9" s="1"/>
  <c r="V569" i="1"/>
  <c r="V74" i="9" s="1"/>
  <c r="U569" i="1"/>
  <c r="U74" i="9" s="1"/>
  <c r="T569" i="1"/>
  <c r="T74" i="9" s="1"/>
  <c r="S569" i="1"/>
  <c r="S74" i="9" s="1"/>
  <c r="R569" i="1"/>
  <c r="R74" i="9" s="1"/>
  <c r="Q569" i="1"/>
  <c r="Q74" i="9" s="1"/>
  <c r="P569" i="1"/>
  <c r="P74" i="9" s="1"/>
  <c r="O569" i="1"/>
  <c r="O74" i="9" s="1"/>
  <c r="N569" i="1"/>
  <c r="N74" i="9" s="1"/>
  <c r="M569" i="1"/>
  <c r="M74" i="9" s="1"/>
  <c r="L569" i="1"/>
  <c r="L74" i="9" s="1"/>
  <c r="K569" i="1"/>
  <c r="K74" i="9" s="1"/>
  <c r="J569" i="1"/>
  <c r="J74" i="9" s="1"/>
  <c r="I569" i="1"/>
  <c r="I74" i="9" s="1"/>
  <c r="H569" i="1"/>
  <c r="H74" i="9" s="1"/>
  <c r="G569" i="1"/>
  <c r="G74" i="9" s="1"/>
  <c r="F569" i="1"/>
  <c r="F74" i="9" s="1"/>
  <c r="E569" i="1"/>
  <c r="E74" i="9" s="1"/>
  <c r="D569" i="1"/>
  <c r="D74" i="9" s="1"/>
  <c r="C569" i="1"/>
  <c r="C74" i="9" s="1"/>
  <c r="A569" i="1"/>
  <c r="A568" i="1"/>
  <c r="BD567" i="1"/>
  <c r="AY567" i="1"/>
  <c r="AW567" i="1"/>
  <c r="AV567" i="1"/>
  <c r="AU567" i="1"/>
  <c r="AT567" i="1"/>
  <c r="AR567" i="1"/>
  <c r="AQ567" i="1"/>
  <c r="AP567" i="1"/>
  <c r="AO567" i="1"/>
  <c r="AM567" i="1"/>
  <c r="AL567" i="1"/>
  <c r="AK567" i="1"/>
  <c r="AJ567" i="1"/>
  <c r="AH567" i="1"/>
  <c r="AG567" i="1"/>
  <c r="AF567" i="1"/>
  <c r="AE567" i="1"/>
  <c r="AC567" i="1"/>
  <c r="AB567" i="1"/>
  <c r="AA567" i="1"/>
  <c r="Z567" i="1"/>
  <c r="X567" i="1"/>
  <c r="W567" i="1"/>
  <c r="V567" i="1"/>
  <c r="U567" i="1"/>
  <c r="T567" i="1"/>
  <c r="S567" i="1"/>
  <c r="R567" i="1"/>
  <c r="Q567" i="1"/>
  <c r="P567" i="1"/>
  <c r="O567" i="1"/>
  <c r="N567" i="1"/>
  <c r="M567" i="1"/>
  <c r="L567" i="1"/>
  <c r="K567" i="1"/>
  <c r="J567" i="1"/>
  <c r="I567" i="1"/>
  <c r="H567" i="1"/>
  <c r="G567" i="1"/>
  <c r="F567" i="1"/>
  <c r="E567" i="1"/>
  <c r="D567" i="1"/>
  <c r="C567" i="1"/>
  <c r="A567" i="1"/>
  <c r="AW566" i="1"/>
  <c r="AV566" i="1"/>
  <c r="AU566" i="1"/>
  <c r="AT566" i="1"/>
  <c r="AR566" i="1"/>
  <c r="AQ566" i="1"/>
  <c r="AP566" i="1"/>
  <c r="AO566" i="1"/>
  <c r="AM566" i="1"/>
  <c r="AL566" i="1"/>
  <c r="AK566" i="1"/>
  <c r="AJ566" i="1"/>
  <c r="AH566" i="1"/>
  <c r="AG566" i="1"/>
  <c r="AF566" i="1"/>
  <c r="AE566" i="1"/>
  <c r="AC566" i="1"/>
  <c r="AB566" i="1"/>
  <c r="AA566" i="1"/>
  <c r="Z566" i="1"/>
  <c r="X566" i="1"/>
  <c r="W566" i="1"/>
  <c r="V566" i="1"/>
  <c r="U566" i="1"/>
  <c r="T566" i="1"/>
  <c r="S566" i="1"/>
  <c r="R566" i="1"/>
  <c r="Q566" i="1"/>
  <c r="P566" i="1"/>
  <c r="O566" i="1"/>
  <c r="N566" i="1"/>
  <c r="M566" i="1"/>
  <c r="L566" i="1"/>
  <c r="K566" i="1"/>
  <c r="J566" i="1"/>
  <c r="I566" i="1"/>
  <c r="H566" i="1"/>
  <c r="G566" i="1"/>
  <c r="F566" i="1"/>
  <c r="E566" i="1"/>
  <c r="D566" i="1"/>
  <c r="C566" i="1"/>
  <c r="A566" i="1"/>
  <c r="BD565" i="1"/>
  <c r="AW565" i="1"/>
  <c r="AV565" i="1"/>
  <c r="AU565" i="1"/>
  <c r="AY565" i="1" s="1"/>
  <c r="AT565" i="1"/>
  <c r="AR565" i="1"/>
  <c r="AQ565" i="1"/>
  <c r="AP565" i="1"/>
  <c r="AO565" i="1"/>
  <c r="AM565" i="1"/>
  <c r="AL565" i="1"/>
  <c r="AK565" i="1"/>
  <c r="AJ565" i="1"/>
  <c r="AH565" i="1"/>
  <c r="AG565" i="1"/>
  <c r="AF565" i="1"/>
  <c r="AE565" i="1"/>
  <c r="AC565" i="1"/>
  <c r="AB565" i="1"/>
  <c r="AA565" i="1"/>
  <c r="Z565" i="1"/>
  <c r="Y565" i="1"/>
  <c r="X565" i="1"/>
  <c r="W565" i="1"/>
  <c r="V565" i="1"/>
  <c r="U565" i="1"/>
  <c r="T565" i="1"/>
  <c r="S565" i="1"/>
  <c r="R565" i="1"/>
  <c r="Q565" i="1"/>
  <c r="P565" i="1"/>
  <c r="O565" i="1"/>
  <c r="N565" i="1"/>
  <c r="M565" i="1"/>
  <c r="L565" i="1"/>
  <c r="K565" i="1"/>
  <c r="J565" i="1"/>
  <c r="I565" i="1"/>
  <c r="H565" i="1"/>
  <c r="G565" i="1"/>
  <c r="F565" i="1"/>
  <c r="E565" i="1"/>
  <c r="D565" i="1"/>
  <c r="C565" i="1"/>
  <c r="A565" i="1"/>
  <c r="BD564" i="1"/>
  <c r="AW564" i="1"/>
  <c r="AV564" i="1"/>
  <c r="AY564" i="1" s="1"/>
  <c r="AU564" i="1"/>
  <c r="AT564" i="1"/>
  <c r="AR564" i="1"/>
  <c r="AQ564" i="1"/>
  <c r="AP564" i="1"/>
  <c r="AO564" i="1"/>
  <c r="AM564" i="1"/>
  <c r="AL564" i="1"/>
  <c r="AK564" i="1"/>
  <c r="AJ564" i="1"/>
  <c r="AH564" i="1"/>
  <c r="AG564" i="1"/>
  <c r="AF564" i="1"/>
  <c r="AE564" i="1"/>
  <c r="AC564" i="1"/>
  <c r="AB564" i="1"/>
  <c r="AA564" i="1"/>
  <c r="Z564" i="1"/>
  <c r="X564" i="1"/>
  <c r="W564" i="1"/>
  <c r="V564" i="1"/>
  <c r="U564" i="1"/>
  <c r="T564" i="1"/>
  <c r="S564" i="1"/>
  <c r="R564" i="1"/>
  <c r="Q564" i="1"/>
  <c r="P564" i="1"/>
  <c r="O564" i="1"/>
  <c r="N564" i="1"/>
  <c r="M564" i="1"/>
  <c r="L564" i="1"/>
  <c r="K564" i="1"/>
  <c r="J564" i="1"/>
  <c r="I564" i="1"/>
  <c r="H564" i="1"/>
  <c r="G564" i="1"/>
  <c r="F564" i="1"/>
  <c r="E564" i="1"/>
  <c r="D564" i="1"/>
  <c r="C564" i="1"/>
  <c r="A564" i="1"/>
  <c r="BD563" i="1"/>
  <c r="AW563" i="1"/>
  <c r="AV563" i="1"/>
  <c r="AY563" i="1" s="1"/>
  <c r="AU563" i="1"/>
  <c r="AT563" i="1"/>
  <c r="AR563" i="1"/>
  <c r="AQ563" i="1"/>
  <c r="AP563" i="1"/>
  <c r="AO563" i="1"/>
  <c r="AM563" i="1"/>
  <c r="AL563" i="1"/>
  <c r="AK563" i="1"/>
  <c r="AJ563" i="1"/>
  <c r="AH563" i="1"/>
  <c r="AG563" i="1"/>
  <c r="AF563" i="1"/>
  <c r="AE563" i="1"/>
  <c r="AC563" i="1"/>
  <c r="AB563" i="1"/>
  <c r="AA563" i="1"/>
  <c r="Z563" i="1"/>
  <c r="X563" i="1"/>
  <c r="W563" i="1"/>
  <c r="V563" i="1"/>
  <c r="U563" i="1"/>
  <c r="T563" i="1"/>
  <c r="S563" i="1"/>
  <c r="R563" i="1"/>
  <c r="Q563" i="1"/>
  <c r="P563" i="1"/>
  <c r="O563" i="1"/>
  <c r="N563" i="1"/>
  <c r="M563" i="1"/>
  <c r="L563" i="1"/>
  <c r="K563" i="1"/>
  <c r="J563" i="1"/>
  <c r="I563" i="1"/>
  <c r="H563" i="1"/>
  <c r="G563" i="1"/>
  <c r="F563" i="1"/>
  <c r="E563" i="1"/>
  <c r="D563" i="1"/>
  <c r="C563" i="1"/>
  <c r="A563" i="1"/>
  <c r="BD562" i="1"/>
  <c r="AW562" i="1"/>
  <c r="AV562" i="1"/>
  <c r="AY562" i="1" s="1"/>
  <c r="AU562" i="1"/>
  <c r="AT562" i="1"/>
  <c r="AR562" i="1"/>
  <c r="AQ562" i="1"/>
  <c r="AP562" i="1"/>
  <c r="AO562" i="1"/>
  <c r="AM562" i="1"/>
  <c r="AL562" i="1"/>
  <c r="AK562" i="1"/>
  <c r="AJ562" i="1"/>
  <c r="AH562" i="1"/>
  <c r="AG562" i="1"/>
  <c r="AF562" i="1"/>
  <c r="AE562" i="1"/>
  <c r="AC562" i="1"/>
  <c r="AB562" i="1"/>
  <c r="AA562" i="1"/>
  <c r="Z562" i="1"/>
  <c r="X562" i="1"/>
  <c r="W562" i="1"/>
  <c r="V562" i="1"/>
  <c r="U562" i="1"/>
  <c r="T562" i="1"/>
  <c r="S562" i="1"/>
  <c r="R562" i="1"/>
  <c r="Q562" i="1"/>
  <c r="P562" i="1"/>
  <c r="O562" i="1"/>
  <c r="N562" i="1"/>
  <c r="M562" i="1"/>
  <c r="L562" i="1"/>
  <c r="K562" i="1"/>
  <c r="J562" i="1"/>
  <c r="I562" i="1"/>
  <c r="H562" i="1"/>
  <c r="G562" i="1"/>
  <c r="F562" i="1"/>
  <c r="E562" i="1"/>
  <c r="D562" i="1"/>
  <c r="C562" i="1"/>
  <c r="A562" i="1"/>
  <c r="AW561" i="1"/>
  <c r="AV561" i="1"/>
  <c r="AU561" i="1"/>
  <c r="AT561" i="1"/>
  <c r="AR561" i="1"/>
  <c r="AQ561" i="1"/>
  <c r="AP561" i="1"/>
  <c r="AO561" i="1"/>
  <c r="AM561" i="1"/>
  <c r="AL561" i="1"/>
  <c r="AK561" i="1"/>
  <c r="AJ561" i="1"/>
  <c r="AH561" i="1"/>
  <c r="AG561" i="1"/>
  <c r="AF561" i="1"/>
  <c r="AE561" i="1"/>
  <c r="AC561" i="1"/>
  <c r="AB561" i="1"/>
  <c r="AA561" i="1"/>
  <c r="Z561" i="1"/>
  <c r="X561" i="1"/>
  <c r="W561" i="1"/>
  <c r="V561" i="1"/>
  <c r="U561" i="1"/>
  <c r="T561" i="1"/>
  <c r="S561" i="1"/>
  <c r="R561" i="1"/>
  <c r="Q561" i="1"/>
  <c r="P561" i="1"/>
  <c r="O561" i="1"/>
  <c r="N561" i="1"/>
  <c r="M561" i="1"/>
  <c r="L561" i="1"/>
  <c r="K561" i="1"/>
  <c r="J561" i="1"/>
  <c r="I561" i="1"/>
  <c r="H561" i="1"/>
  <c r="G561" i="1"/>
  <c r="F561" i="1"/>
  <c r="E561" i="1"/>
  <c r="D561" i="1"/>
  <c r="C561" i="1"/>
  <c r="A561" i="1"/>
  <c r="AW560" i="1"/>
  <c r="AV560" i="1"/>
  <c r="AU560" i="1"/>
  <c r="AT560" i="1"/>
  <c r="AR560" i="1"/>
  <c r="AQ560" i="1"/>
  <c r="AP560" i="1"/>
  <c r="AO560" i="1"/>
  <c r="AM560" i="1"/>
  <c r="AL560" i="1"/>
  <c r="AK560" i="1"/>
  <c r="AJ560" i="1"/>
  <c r="AH560" i="1"/>
  <c r="AG560" i="1"/>
  <c r="AF560" i="1"/>
  <c r="AE560" i="1"/>
  <c r="AC560" i="1"/>
  <c r="AB560" i="1"/>
  <c r="AA560" i="1"/>
  <c r="Z560" i="1"/>
  <c r="X560" i="1"/>
  <c r="W560" i="1"/>
  <c r="V560" i="1"/>
  <c r="U560" i="1"/>
  <c r="T560" i="1"/>
  <c r="S560" i="1"/>
  <c r="R560" i="1"/>
  <c r="Q560" i="1"/>
  <c r="P560" i="1"/>
  <c r="O560" i="1"/>
  <c r="N560" i="1"/>
  <c r="M560" i="1"/>
  <c r="L560" i="1"/>
  <c r="K560" i="1"/>
  <c r="J560" i="1"/>
  <c r="I560" i="1"/>
  <c r="H560" i="1"/>
  <c r="G560" i="1"/>
  <c r="F560" i="1"/>
  <c r="E560" i="1"/>
  <c r="D560" i="1"/>
  <c r="C560" i="1"/>
  <c r="A560" i="1"/>
  <c r="BD559" i="1"/>
  <c r="AW559" i="1"/>
  <c r="AV559" i="1"/>
  <c r="AY559" i="1" s="1"/>
  <c r="AU559" i="1"/>
  <c r="AT559" i="1"/>
  <c r="AR559" i="1"/>
  <c r="AQ559" i="1"/>
  <c r="AP559" i="1"/>
  <c r="AO559" i="1"/>
  <c r="AM559" i="1"/>
  <c r="AL559" i="1"/>
  <c r="AK559" i="1"/>
  <c r="AJ559" i="1"/>
  <c r="AH559" i="1"/>
  <c r="AG559" i="1"/>
  <c r="AF559" i="1"/>
  <c r="AE559" i="1"/>
  <c r="AC559" i="1"/>
  <c r="AB559" i="1"/>
  <c r="AA559" i="1"/>
  <c r="Z559" i="1"/>
  <c r="X559" i="1"/>
  <c r="W559" i="1"/>
  <c r="V559" i="1"/>
  <c r="U559" i="1"/>
  <c r="T559" i="1"/>
  <c r="S559" i="1"/>
  <c r="R559" i="1"/>
  <c r="Q559" i="1"/>
  <c r="P559" i="1"/>
  <c r="O559" i="1"/>
  <c r="N559" i="1"/>
  <c r="M559" i="1"/>
  <c r="L559" i="1"/>
  <c r="K559" i="1"/>
  <c r="J559" i="1"/>
  <c r="I559" i="1"/>
  <c r="H559" i="1"/>
  <c r="G559" i="1"/>
  <c r="F559" i="1"/>
  <c r="E559" i="1"/>
  <c r="D559" i="1"/>
  <c r="C559" i="1"/>
  <c r="A559" i="1"/>
  <c r="AW558" i="1"/>
  <c r="AW634" i="1" s="1"/>
  <c r="AV558" i="1"/>
  <c r="AV634" i="1" s="1"/>
  <c r="AU558" i="1"/>
  <c r="AU634" i="1" s="1"/>
  <c r="AT558" i="1"/>
  <c r="AT634" i="1" s="1"/>
  <c r="AT640" i="1" s="1"/>
  <c r="AR558" i="1"/>
  <c r="AR634" i="1" s="1"/>
  <c r="AQ558" i="1"/>
  <c r="AQ634" i="1" s="1"/>
  <c r="AP558" i="1"/>
  <c r="AP634" i="1" s="1"/>
  <c r="AO558" i="1"/>
  <c r="AO634" i="1" s="1"/>
  <c r="AO640" i="1" s="1"/>
  <c r="AM558" i="1"/>
  <c r="AM634" i="1" s="1"/>
  <c r="AL558" i="1"/>
  <c r="AL634" i="1" s="1"/>
  <c r="AK558" i="1"/>
  <c r="AK634" i="1" s="1"/>
  <c r="AJ558" i="1"/>
  <c r="AJ634" i="1" s="1"/>
  <c r="AJ640" i="1" s="1"/>
  <c r="AH558" i="1"/>
  <c r="AH634" i="1" s="1"/>
  <c r="AG558" i="1"/>
  <c r="AG634" i="1" s="1"/>
  <c r="AF558" i="1"/>
  <c r="AF634" i="1" s="1"/>
  <c r="AE558" i="1"/>
  <c r="AE634" i="1" s="1"/>
  <c r="AE640" i="1" s="1"/>
  <c r="AC558" i="1"/>
  <c r="AC634" i="1" s="1"/>
  <c r="AB558" i="1"/>
  <c r="AB634" i="1" s="1"/>
  <c r="AA558" i="1"/>
  <c r="AA634" i="1" s="1"/>
  <c r="Z558" i="1"/>
  <c r="Z634" i="1" s="1"/>
  <c r="Z640" i="1" s="1"/>
  <c r="X558" i="1"/>
  <c r="X634" i="1" s="1"/>
  <c r="W558" i="1"/>
  <c r="W634" i="1" s="1"/>
  <c r="V558" i="1"/>
  <c r="V634" i="1" s="1"/>
  <c r="U558" i="1"/>
  <c r="U634" i="1" s="1"/>
  <c r="U640" i="1" s="1"/>
  <c r="T558" i="1"/>
  <c r="T634" i="1" s="1"/>
  <c r="S558" i="1"/>
  <c r="S634" i="1" s="1"/>
  <c r="R558" i="1"/>
  <c r="R634" i="1" s="1"/>
  <c r="Q558" i="1"/>
  <c r="Q634" i="1" s="1"/>
  <c r="P558" i="1"/>
  <c r="P634" i="1" s="1"/>
  <c r="P640" i="1" s="1"/>
  <c r="O558" i="1"/>
  <c r="O634" i="1" s="1"/>
  <c r="N558" i="1"/>
  <c r="N634" i="1" s="1"/>
  <c r="M558" i="1"/>
  <c r="M634" i="1" s="1"/>
  <c r="L558" i="1"/>
  <c r="L634" i="1" s="1"/>
  <c r="K558" i="1"/>
  <c r="K634" i="1" s="1"/>
  <c r="K640" i="1" s="1"/>
  <c r="J558" i="1"/>
  <c r="J634" i="1" s="1"/>
  <c r="I558" i="1"/>
  <c r="I634" i="1" s="1"/>
  <c r="H558" i="1"/>
  <c r="H634" i="1" s="1"/>
  <c r="G558" i="1"/>
  <c r="G634" i="1" s="1"/>
  <c r="F558" i="1"/>
  <c r="F634" i="1" s="1"/>
  <c r="F640" i="1" s="1"/>
  <c r="E558" i="1"/>
  <c r="E634" i="1" s="1"/>
  <c r="E640" i="1" s="1"/>
  <c r="D558" i="1"/>
  <c r="D634" i="1" s="1"/>
  <c r="D640" i="1" s="1"/>
  <c r="C558" i="1"/>
  <c r="A558" i="1"/>
  <c r="BD557" i="1"/>
  <c r="AW557" i="1"/>
  <c r="AV557" i="1"/>
  <c r="AU557" i="1"/>
  <c r="AY557" i="1" s="1"/>
  <c r="AT557" i="1"/>
  <c r="AR557" i="1"/>
  <c r="AQ557" i="1"/>
  <c r="AP557" i="1"/>
  <c r="AO557" i="1"/>
  <c r="AM557" i="1"/>
  <c r="AL557" i="1"/>
  <c r="AK557" i="1"/>
  <c r="AJ557" i="1"/>
  <c r="AH557" i="1"/>
  <c r="AG557" i="1"/>
  <c r="AF557" i="1"/>
  <c r="AE557" i="1"/>
  <c r="AC557" i="1"/>
  <c r="AB557" i="1"/>
  <c r="AA557" i="1"/>
  <c r="Z557" i="1"/>
  <c r="X557" i="1"/>
  <c r="W557" i="1"/>
  <c r="V557" i="1"/>
  <c r="U557" i="1"/>
  <c r="T557" i="1"/>
  <c r="S557" i="1"/>
  <c r="R557" i="1"/>
  <c r="Q557" i="1"/>
  <c r="P557" i="1"/>
  <c r="O557" i="1"/>
  <c r="N557" i="1"/>
  <c r="M557" i="1"/>
  <c r="L557" i="1"/>
  <c r="K557" i="1"/>
  <c r="J557" i="1"/>
  <c r="I557" i="1"/>
  <c r="H557" i="1"/>
  <c r="G557" i="1"/>
  <c r="F557" i="1"/>
  <c r="E557" i="1"/>
  <c r="D557" i="1"/>
  <c r="C557" i="1"/>
  <c r="A557" i="1"/>
  <c r="BG556" i="1"/>
  <c r="BF556" i="1"/>
  <c r="BE556" i="1"/>
  <c r="BC556" i="1"/>
  <c r="BB556" i="1"/>
  <c r="BA556" i="1"/>
  <c r="AZ556" i="1"/>
  <c r="BD556" i="1" s="1"/>
  <c r="AX556" i="1"/>
  <c r="AW556" i="1"/>
  <c r="AW635" i="1" s="1"/>
  <c r="AV556" i="1"/>
  <c r="AV635" i="1" s="1"/>
  <c r="AU556" i="1"/>
  <c r="AU635" i="1" s="1"/>
  <c r="AT556" i="1"/>
  <c r="AT635" i="1" s="1"/>
  <c r="AR556" i="1"/>
  <c r="AR635" i="1" s="1"/>
  <c r="AQ556" i="1"/>
  <c r="AQ635" i="1" s="1"/>
  <c r="AP556" i="1"/>
  <c r="AP635" i="1" s="1"/>
  <c r="AO556" i="1"/>
  <c r="AO635" i="1" s="1"/>
  <c r="AM556" i="1"/>
  <c r="AM635" i="1" s="1"/>
  <c r="AL556" i="1"/>
  <c r="AL635" i="1" s="1"/>
  <c r="AK556" i="1"/>
  <c r="AK635" i="1" s="1"/>
  <c r="AJ556" i="1"/>
  <c r="AJ635" i="1" s="1"/>
  <c r="AH556" i="1"/>
  <c r="AH635" i="1" s="1"/>
  <c r="AG556" i="1"/>
  <c r="AG635" i="1" s="1"/>
  <c r="AF556" i="1"/>
  <c r="AF635" i="1" s="1"/>
  <c r="AE556" i="1"/>
  <c r="AE635" i="1" s="1"/>
  <c r="AC556" i="1"/>
  <c r="AC635" i="1" s="1"/>
  <c r="AB556" i="1"/>
  <c r="AB635" i="1" s="1"/>
  <c r="AA556" i="1"/>
  <c r="AA635" i="1" s="1"/>
  <c r="Z556" i="1"/>
  <c r="Z635" i="1" s="1"/>
  <c r="X556" i="1"/>
  <c r="X635" i="1" s="1"/>
  <c r="W556" i="1"/>
  <c r="W635" i="1" s="1"/>
  <c r="V556" i="1"/>
  <c r="V635" i="1" s="1"/>
  <c r="U556" i="1"/>
  <c r="U635" i="1" s="1"/>
  <c r="T556" i="1"/>
  <c r="T635" i="1" s="1"/>
  <c r="S556" i="1"/>
  <c r="S635" i="1" s="1"/>
  <c r="R556" i="1"/>
  <c r="R635" i="1" s="1"/>
  <c r="Q556" i="1"/>
  <c r="Q635" i="1" s="1"/>
  <c r="P556" i="1"/>
  <c r="P635" i="1" s="1"/>
  <c r="O556" i="1"/>
  <c r="O635" i="1" s="1"/>
  <c r="N556" i="1"/>
  <c r="N635" i="1" s="1"/>
  <c r="M556" i="1"/>
  <c r="M635" i="1" s="1"/>
  <c r="L556" i="1"/>
  <c r="L635" i="1" s="1"/>
  <c r="K556" i="1"/>
  <c r="K635" i="1" s="1"/>
  <c r="J556" i="1"/>
  <c r="J635" i="1" s="1"/>
  <c r="I556" i="1"/>
  <c r="I635" i="1" s="1"/>
  <c r="H556" i="1"/>
  <c r="H635" i="1" s="1"/>
  <c r="G556" i="1"/>
  <c r="G635" i="1" s="1"/>
  <c r="F556" i="1"/>
  <c r="F635" i="1" s="1"/>
  <c r="E556" i="1"/>
  <c r="E635" i="1" s="1"/>
  <c r="D556" i="1"/>
  <c r="D635" i="1" s="1"/>
  <c r="C556" i="1"/>
  <c r="A556" i="1"/>
  <c r="AW555" i="1"/>
  <c r="AW568" i="1" s="1"/>
  <c r="AW575" i="1" s="1"/>
  <c r="AV555" i="1"/>
  <c r="AU555" i="1"/>
  <c r="AT555" i="1"/>
  <c r="AT568" i="1" s="1"/>
  <c r="AR555" i="1"/>
  <c r="AQ555" i="1"/>
  <c r="AP555" i="1"/>
  <c r="AP568" i="1" s="1"/>
  <c r="AO555" i="1"/>
  <c r="AO568" i="1" s="1"/>
  <c r="AO575" i="1" s="1"/>
  <c r="AM555" i="1"/>
  <c r="AL555" i="1"/>
  <c r="AL568" i="1" s="1"/>
  <c r="AK555" i="1"/>
  <c r="AK568" i="1" s="1"/>
  <c r="AJ555" i="1"/>
  <c r="AH555" i="1"/>
  <c r="AH568" i="1" s="1"/>
  <c r="AG555" i="1"/>
  <c r="AG568" i="1" s="1"/>
  <c r="AG575" i="1" s="1"/>
  <c r="AF555" i="1"/>
  <c r="AE555" i="1"/>
  <c r="AC555" i="1"/>
  <c r="AC568" i="1" s="1"/>
  <c r="AC575" i="1" s="1"/>
  <c r="AB555" i="1"/>
  <c r="AA555" i="1"/>
  <c r="Z555" i="1"/>
  <c r="Z568" i="1" s="1"/>
  <c r="X555" i="1"/>
  <c r="W555" i="1"/>
  <c r="V555" i="1"/>
  <c r="V568" i="1" s="1"/>
  <c r="U555" i="1"/>
  <c r="U568" i="1" s="1"/>
  <c r="U575" i="1" s="1"/>
  <c r="T555" i="1"/>
  <c r="T568" i="1" s="1"/>
  <c r="S555" i="1"/>
  <c r="R555" i="1"/>
  <c r="R568" i="1" s="1"/>
  <c r="Q555" i="1"/>
  <c r="Q568" i="1" s="1"/>
  <c r="P555" i="1"/>
  <c r="O555" i="1"/>
  <c r="O568" i="1" s="1"/>
  <c r="O575" i="1" s="1"/>
  <c r="N555" i="1"/>
  <c r="N568" i="1" s="1"/>
  <c r="M555" i="1"/>
  <c r="M568" i="1" s="1"/>
  <c r="M575" i="1" s="1"/>
  <c r="L555" i="1"/>
  <c r="K555" i="1"/>
  <c r="J555" i="1"/>
  <c r="J568" i="1" s="1"/>
  <c r="I555" i="1"/>
  <c r="I568" i="1" s="1"/>
  <c r="I575" i="1" s="1"/>
  <c r="H555" i="1"/>
  <c r="G555" i="1"/>
  <c r="F555" i="1"/>
  <c r="F568" i="1" s="1"/>
  <c r="E555" i="1"/>
  <c r="E568" i="1" s="1"/>
  <c r="E575" i="1" s="1"/>
  <c r="D555" i="1"/>
  <c r="C555" i="1"/>
  <c r="A555" i="1"/>
  <c r="A554" i="1"/>
  <c r="BC547" i="1"/>
  <c r="AX547" i="1"/>
  <c r="AS547" i="1"/>
  <c r="AS607" i="1" s="1"/>
  <c r="AN547" i="1"/>
  <c r="AN607" i="1" s="1"/>
  <c r="AI547" i="1"/>
  <c r="AI607" i="1" s="1"/>
  <c r="AD547" i="1"/>
  <c r="AD607" i="1" s="1"/>
  <c r="Y547" i="1"/>
  <c r="Y607" i="1" s="1"/>
  <c r="BG545" i="1"/>
  <c r="BF545" i="1"/>
  <c r="BE545" i="1"/>
  <c r="BD545" i="1"/>
  <c r="BB545" i="1"/>
  <c r="BA545" i="1"/>
  <c r="AZ545" i="1"/>
  <c r="AY545" i="1"/>
  <c r="AW545" i="1"/>
  <c r="AV545" i="1"/>
  <c r="AU545" i="1"/>
  <c r="AT545" i="1"/>
  <c r="AR545" i="1"/>
  <c r="AQ545" i="1"/>
  <c r="AP545" i="1"/>
  <c r="AO545" i="1"/>
  <c r="AM545" i="1"/>
  <c r="AL545" i="1"/>
  <c r="AK545" i="1"/>
  <c r="AJ545" i="1"/>
  <c r="AH545" i="1"/>
  <c r="AG545" i="1"/>
  <c r="AF545" i="1"/>
  <c r="AE545" i="1"/>
  <c r="AC545" i="1"/>
  <c r="AB545" i="1"/>
  <c r="AA545" i="1"/>
  <c r="Z545" i="1"/>
  <c r="X545" i="1"/>
  <c r="W545" i="1"/>
  <c r="V545" i="1"/>
  <c r="U545" i="1"/>
  <c r="T545" i="1"/>
  <c r="S545" i="1"/>
  <c r="R545" i="1"/>
  <c r="Q545" i="1"/>
  <c r="P545" i="1"/>
  <c r="O545" i="1"/>
  <c r="N545" i="1"/>
  <c r="M545" i="1"/>
  <c r="L545" i="1"/>
  <c r="K545" i="1"/>
  <c r="J545" i="1"/>
  <c r="I545" i="1"/>
  <c r="H545" i="1"/>
  <c r="G545" i="1"/>
  <c r="F545" i="1"/>
  <c r="E545" i="1"/>
  <c r="D545" i="1"/>
  <c r="C545" i="1"/>
  <c r="BC544" i="1"/>
  <c r="AX544" i="1"/>
  <c r="AS544" i="1"/>
  <c r="AS604" i="1" s="1"/>
  <c r="AN544" i="1"/>
  <c r="AN604" i="1" s="1"/>
  <c r="AI544" i="1"/>
  <c r="AI604" i="1" s="1"/>
  <c r="AD544" i="1"/>
  <c r="AD604" i="1" s="1"/>
  <c r="Y544" i="1"/>
  <c r="Y604" i="1" s="1"/>
  <c r="BC543" i="1"/>
  <c r="AX543" i="1"/>
  <c r="AS543" i="1"/>
  <c r="AS603" i="1" s="1"/>
  <c r="AN543" i="1"/>
  <c r="AN603" i="1" s="1"/>
  <c r="AI543" i="1"/>
  <c r="AI603" i="1" s="1"/>
  <c r="AD543" i="1"/>
  <c r="AD603" i="1" s="1"/>
  <c r="Y543" i="1"/>
  <c r="Y603" i="1" s="1"/>
  <c r="BC542" i="1"/>
  <c r="AX542" i="1"/>
  <c r="AS542" i="1"/>
  <c r="AS602" i="1" s="1"/>
  <c r="AN542" i="1"/>
  <c r="AN602" i="1" s="1"/>
  <c r="AI542" i="1"/>
  <c r="AI602" i="1" s="1"/>
  <c r="AD542" i="1"/>
  <c r="AD602" i="1" s="1"/>
  <c r="Y542" i="1"/>
  <c r="Y602" i="1" s="1"/>
  <c r="BC541" i="1"/>
  <c r="AX541" i="1"/>
  <c r="AS541" i="1"/>
  <c r="AS601" i="1" s="1"/>
  <c r="AN541" i="1"/>
  <c r="AN601" i="1" s="1"/>
  <c r="AI541" i="1"/>
  <c r="AI601" i="1" s="1"/>
  <c r="AD541" i="1"/>
  <c r="AD601" i="1" s="1"/>
  <c r="Y541" i="1"/>
  <c r="Y601" i="1" s="1"/>
  <c r="BC539" i="1"/>
  <c r="AX539" i="1"/>
  <c r="AS539" i="1"/>
  <c r="AS599" i="1" s="1"/>
  <c r="AN539" i="1"/>
  <c r="AN599" i="1" s="1"/>
  <c r="AI539" i="1"/>
  <c r="AI599" i="1" s="1"/>
  <c r="AD539" i="1"/>
  <c r="AD599" i="1" s="1"/>
  <c r="Y539" i="1"/>
  <c r="Y599" i="1" s="1"/>
  <c r="BC538" i="1"/>
  <c r="AX538" i="1"/>
  <c r="AS538" i="1"/>
  <c r="AS598" i="1" s="1"/>
  <c r="AN538" i="1"/>
  <c r="AN598" i="1" s="1"/>
  <c r="AI538" i="1"/>
  <c r="AI598" i="1" s="1"/>
  <c r="AD538" i="1"/>
  <c r="AD598" i="1" s="1"/>
  <c r="Y538" i="1"/>
  <c r="Y598" i="1" s="1"/>
  <c r="BC537" i="1"/>
  <c r="AX537" i="1"/>
  <c r="AS537" i="1"/>
  <c r="AS597" i="1" s="1"/>
  <c r="AN537" i="1"/>
  <c r="AN597" i="1" s="1"/>
  <c r="AI537" i="1"/>
  <c r="AI597" i="1" s="1"/>
  <c r="AD537" i="1"/>
  <c r="AD597" i="1" s="1"/>
  <c r="Y537" i="1"/>
  <c r="Y597" i="1" s="1"/>
  <c r="BC536" i="1"/>
  <c r="AX536" i="1"/>
  <c r="AS536" i="1"/>
  <c r="AS596" i="1" s="1"/>
  <c r="AN536" i="1"/>
  <c r="AN596" i="1" s="1"/>
  <c r="AI536" i="1"/>
  <c r="AI596" i="1" s="1"/>
  <c r="AD536" i="1"/>
  <c r="AD596" i="1" s="1"/>
  <c r="Y536" i="1"/>
  <c r="Y596" i="1" s="1"/>
  <c r="BC535" i="1"/>
  <c r="AX535" i="1"/>
  <c r="AS535" i="1"/>
  <c r="AS595" i="1" s="1"/>
  <c r="AN535" i="1"/>
  <c r="AN595" i="1" s="1"/>
  <c r="AI535" i="1"/>
  <c r="AI595" i="1" s="1"/>
  <c r="AD535" i="1"/>
  <c r="AD595" i="1" s="1"/>
  <c r="Y535" i="1"/>
  <c r="Y595" i="1" s="1"/>
  <c r="BC534" i="1"/>
  <c r="AX534" i="1"/>
  <c r="AS534" i="1"/>
  <c r="AS594" i="1" s="1"/>
  <c r="AN534" i="1"/>
  <c r="AN594" i="1" s="1"/>
  <c r="AI534" i="1"/>
  <c r="AI594" i="1" s="1"/>
  <c r="AD534" i="1"/>
  <c r="AD594" i="1" s="1"/>
  <c r="Y534" i="1"/>
  <c r="Y594" i="1" s="1"/>
  <c r="BC533" i="1"/>
  <c r="AX533" i="1"/>
  <c r="AS533" i="1"/>
  <c r="AS593" i="1" s="1"/>
  <c r="AN533" i="1"/>
  <c r="AN593" i="1" s="1"/>
  <c r="AI533" i="1"/>
  <c r="AI593" i="1" s="1"/>
  <c r="AD533" i="1"/>
  <c r="AD593" i="1" s="1"/>
  <c r="Y533" i="1"/>
  <c r="Y593" i="1" s="1"/>
  <c r="BC532" i="1"/>
  <c r="AX532" i="1"/>
  <c r="AS532" i="1"/>
  <c r="AS592" i="1" s="1"/>
  <c r="AN532" i="1"/>
  <c r="AN592" i="1" s="1"/>
  <c r="AI532" i="1"/>
  <c r="AI592" i="1" s="1"/>
  <c r="AD532" i="1"/>
  <c r="AD592" i="1" s="1"/>
  <c r="Y532" i="1"/>
  <c r="Y592" i="1" s="1"/>
  <c r="BC531" i="1"/>
  <c r="BC545" i="1" s="1"/>
  <c r="AX531" i="1"/>
  <c r="AX545" i="1" s="1"/>
  <c r="AS531" i="1"/>
  <c r="AS591" i="1" s="1"/>
  <c r="AS605" i="1" s="1"/>
  <c r="AN531" i="1"/>
  <c r="AN591" i="1" s="1"/>
  <c r="AI531" i="1"/>
  <c r="AI591" i="1" s="1"/>
  <c r="AI605" i="1" s="1"/>
  <c r="AD531" i="1"/>
  <c r="AD591" i="1" s="1"/>
  <c r="AD605" i="1" s="1"/>
  <c r="Y531" i="1"/>
  <c r="Y591" i="1" s="1"/>
  <c r="Y605" i="1" s="1"/>
  <c r="BG528" i="1"/>
  <c r="BF528" i="1"/>
  <c r="BE528" i="1"/>
  <c r="BD528" i="1"/>
  <c r="BB528" i="1"/>
  <c r="BA528" i="1"/>
  <c r="AZ528" i="1"/>
  <c r="AY528" i="1"/>
  <c r="AW528" i="1"/>
  <c r="AV528" i="1"/>
  <c r="AU528" i="1"/>
  <c r="AT528" i="1"/>
  <c r="AR528" i="1"/>
  <c r="AQ528" i="1"/>
  <c r="AP528" i="1"/>
  <c r="AO528" i="1"/>
  <c r="AM528" i="1"/>
  <c r="AL528" i="1"/>
  <c r="AK528" i="1"/>
  <c r="AJ528" i="1"/>
  <c r="AH528" i="1"/>
  <c r="AG528" i="1"/>
  <c r="AF528" i="1"/>
  <c r="AE528" i="1"/>
  <c r="AC528" i="1"/>
  <c r="AB528" i="1"/>
  <c r="AA528" i="1"/>
  <c r="Z528" i="1"/>
  <c r="X528" i="1"/>
  <c r="W528" i="1"/>
  <c r="V528" i="1"/>
  <c r="U528" i="1"/>
  <c r="T528" i="1"/>
  <c r="S528" i="1"/>
  <c r="R528" i="1"/>
  <c r="Q528" i="1"/>
  <c r="P528" i="1"/>
  <c r="O528" i="1"/>
  <c r="N528" i="1"/>
  <c r="M528" i="1"/>
  <c r="L528" i="1"/>
  <c r="K528" i="1"/>
  <c r="J528" i="1"/>
  <c r="I528" i="1"/>
  <c r="H528" i="1"/>
  <c r="G528" i="1"/>
  <c r="F528" i="1"/>
  <c r="E528" i="1"/>
  <c r="D528" i="1"/>
  <c r="C528" i="1"/>
  <c r="BC527" i="1"/>
  <c r="AX527" i="1"/>
  <c r="AS527" i="1"/>
  <c r="AS587" i="1" s="1"/>
  <c r="AN527" i="1"/>
  <c r="AN587" i="1" s="1"/>
  <c r="AI527" i="1"/>
  <c r="AI587" i="1" s="1"/>
  <c r="AD527" i="1"/>
  <c r="AD587" i="1" s="1"/>
  <c r="Y527" i="1"/>
  <c r="Y587" i="1" s="1"/>
  <c r="BC526" i="1"/>
  <c r="AX526" i="1"/>
  <c r="AS526" i="1"/>
  <c r="AS586" i="1" s="1"/>
  <c r="AN526" i="1"/>
  <c r="AN586" i="1" s="1"/>
  <c r="AI526" i="1"/>
  <c r="AI586" i="1" s="1"/>
  <c r="AD526" i="1"/>
  <c r="AD586" i="1" s="1"/>
  <c r="Y526" i="1"/>
  <c r="Y586" i="1" s="1"/>
  <c r="BC525" i="1"/>
  <c r="AX525" i="1"/>
  <c r="AS525" i="1"/>
  <c r="AS585" i="1" s="1"/>
  <c r="AN525" i="1"/>
  <c r="AN585" i="1" s="1"/>
  <c r="AI525" i="1"/>
  <c r="AI585" i="1" s="1"/>
  <c r="AD525" i="1"/>
  <c r="AD585" i="1" s="1"/>
  <c r="Y525" i="1"/>
  <c r="Y585" i="1" s="1"/>
  <c r="BC523" i="1"/>
  <c r="AX523" i="1"/>
  <c r="AS523" i="1"/>
  <c r="AS583" i="1" s="1"/>
  <c r="AN523" i="1"/>
  <c r="AN583" i="1" s="1"/>
  <c r="AI523" i="1"/>
  <c r="AI583" i="1" s="1"/>
  <c r="AD523" i="1"/>
  <c r="AD583" i="1" s="1"/>
  <c r="Y523" i="1"/>
  <c r="Y583" i="1" s="1"/>
  <c r="BC522" i="1"/>
  <c r="AX522" i="1"/>
  <c r="AS522" i="1"/>
  <c r="AS582" i="1" s="1"/>
  <c r="AN522" i="1"/>
  <c r="AN582" i="1" s="1"/>
  <c r="AI522" i="1"/>
  <c r="AI582" i="1" s="1"/>
  <c r="AD522" i="1"/>
  <c r="AD582" i="1" s="1"/>
  <c r="Y522" i="1"/>
  <c r="Y582" i="1" s="1"/>
  <c r="BC521" i="1"/>
  <c r="AX521" i="1"/>
  <c r="AS521" i="1"/>
  <c r="AS581" i="1" s="1"/>
  <c r="AN521" i="1"/>
  <c r="AN581" i="1" s="1"/>
  <c r="AI521" i="1"/>
  <c r="AI581" i="1" s="1"/>
  <c r="AD521" i="1"/>
  <c r="AD581" i="1" s="1"/>
  <c r="Y521" i="1"/>
  <c r="Y581" i="1" s="1"/>
  <c r="BC520" i="1"/>
  <c r="AX520" i="1"/>
  <c r="AS520" i="1"/>
  <c r="AS580" i="1" s="1"/>
  <c r="AN520" i="1"/>
  <c r="AN580" i="1" s="1"/>
  <c r="AI520" i="1"/>
  <c r="AI580" i="1" s="1"/>
  <c r="AD520" i="1"/>
  <c r="AD580" i="1" s="1"/>
  <c r="Y520" i="1"/>
  <c r="Y580" i="1" s="1"/>
  <c r="BC519" i="1"/>
  <c r="AX519" i="1"/>
  <c r="AS519" i="1"/>
  <c r="AS579" i="1" s="1"/>
  <c r="AN519" i="1"/>
  <c r="AN579" i="1" s="1"/>
  <c r="AI519" i="1"/>
  <c r="AI579" i="1" s="1"/>
  <c r="AD519" i="1"/>
  <c r="AD579" i="1" s="1"/>
  <c r="Y519" i="1"/>
  <c r="Y579" i="1" s="1"/>
  <c r="BC518" i="1"/>
  <c r="BC528" i="1" s="1"/>
  <c r="AX518" i="1"/>
  <c r="AX528" i="1" s="1"/>
  <c r="AS518" i="1"/>
  <c r="AS578" i="1" s="1"/>
  <c r="AN518" i="1"/>
  <c r="AN578" i="1" s="1"/>
  <c r="AI518" i="1"/>
  <c r="AI578" i="1" s="1"/>
  <c r="AD518" i="1"/>
  <c r="AD578" i="1" s="1"/>
  <c r="Y518" i="1"/>
  <c r="Y578" i="1" s="1"/>
  <c r="BC514" i="1"/>
  <c r="AX514" i="1"/>
  <c r="AS514" i="1"/>
  <c r="AS574" i="1" s="1"/>
  <c r="AN514" i="1"/>
  <c r="AN574" i="1" s="1"/>
  <c r="AI514" i="1"/>
  <c r="AI574" i="1" s="1"/>
  <c r="AD514" i="1"/>
  <c r="AD574" i="1" s="1"/>
  <c r="Y514" i="1"/>
  <c r="Y574" i="1" s="1"/>
  <c r="BC513" i="1"/>
  <c r="AX513" i="1"/>
  <c r="AS513" i="1"/>
  <c r="AS573" i="1" s="1"/>
  <c r="AN513" i="1"/>
  <c r="AN573" i="1" s="1"/>
  <c r="AI513" i="1"/>
  <c r="AI573" i="1" s="1"/>
  <c r="AD513" i="1"/>
  <c r="AD573" i="1" s="1"/>
  <c r="Y513" i="1"/>
  <c r="Y573" i="1" s="1"/>
  <c r="BC512" i="1"/>
  <c r="AX512" i="1"/>
  <c r="AS512" i="1"/>
  <c r="AS572" i="1" s="1"/>
  <c r="AN512" i="1"/>
  <c r="AN572" i="1" s="1"/>
  <c r="AI512" i="1"/>
  <c r="AI572" i="1" s="1"/>
  <c r="AD512" i="1"/>
  <c r="AD572" i="1" s="1"/>
  <c r="Y512" i="1"/>
  <c r="Y572" i="1" s="1"/>
  <c r="BC511" i="1"/>
  <c r="AX511" i="1"/>
  <c r="AS511" i="1"/>
  <c r="AS571" i="1" s="1"/>
  <c r="AN511" i="1"/>
  <c r="AN571" i="1" s="1"/>
  <c r="AI511" i="1"/>
  <c r="AI571" i="1" s="1"/>
  <c r="AD511" i="1"/>
  <c r="AD571" i="1" s="1"/>
  <c r="Y511" i="1"/>
  <c r="Y571" i="1" s="1"/>
  <c r="BC510" i="1"/>
  <c r="AX510" i="1"/>
  <c r="AS510" i="1"/>
  <c r="AS570" i="1" s="1"/>
  <c r="AN510" i="1"/>
  <c r="AN570" i="1" s="1"/>
  <c r="AI510" i="1"/>
  <c r="AI570" i="1" s="1"/>
  <c r="AD510" i="1"/>
  <c r="AD570" i="1" s="1"/>
  <c r="Y510" i="1"/>
  <c r="Y570" i="1" s="1"/>
  <c r="BC509" i="1"/>
  <c r="AX509" i="1"/>
  <c r="AS509" i="1"/>
  <c r="AS569" i="1" s="1"/>
  <c r="AS74" i="9" s="1"/>
  <c r="AN509" i="1"/>
  <c r="AN569" i="1" s="1"/>
  <c r="AI509" i="1"/>
  <c r="AI569" i="1" s="1"/>
  <c r="AD509" i="1"/>
  <c r="AD569" i="1" s="1"/>
  <c r="Y509" i="1"/>
  <c r="Y569" i="1" s="1"/>
  <c r="Y74" i="9" s="1"/>
  <c r="BG508" i="1"/>
  <c r="BG515" i="1" s="1"/>
  <c r="BF508" i="1"/>
  <c r="BF515" i="1" s="1"/>
  <c r="BE508" i="1"/>
  <c r="BE515" i="1" s="1"/>
  <c r="BD508" i="1"/>
  <c r="BD515" i="1" s="1"/>
  <c r="BB508" i="1"/>
  <c r="BB515" i="1" s="1"/>
  <c r="BA508" i="1"/>
  <c r="BA515" i="1" s="1"/>
  <c r="AZ508" i="1"/>
  <c r="AZ515" i="1" s="1"/>
  <c r="AY508" i="1"/>
  <c r="AY515" i="1" s="1"/>
  <c r="AW508" i="1"/>
  <c r="AW515" i="1" s="1"/>
  <c r="AV508" i="1"/>
  <c r="AV515" i="1" s="1"/>
  <c r="AU508" i="1"/>
  <c r="AU515" i="1" s="1"/>
  <c r="AT508" i="1"/>
  <c r="AT515" i="1" s="1"/>
  <c r="AR508" i="1"/>
  <c r="AR515" i="1" s="1"/>
  <c r="AQ508" i="1"/>
  <c r="AQ515" i="1" s="1"/>
  <c r="AP508" i="1"/>
  <c r="AP515" i="1" s="1"/>
  <c r="AO508" i="1"/>
  <c r="AO515" i="1" s="1"/>
  <c r="AM508" i="1"/>
  <c r="AM515" i="1" s="1"/>
  <c r="AL508" i="1"/>
  <c r="AL515" i="1" s="1"/>
  <c r="AK508" i="1"/>
  <c r="AK515" i="1" s="1"/>
  <c r="AJ508" i="1"/>
  <c r="AJ515" i="1" s="1"/>
  <c r="AH508" i="1"/>
  <c r="AH515" i="1" s="1"/>
  <c r="AG508" i="1"/>
  <c r="AG515" i="1" s="1"/>
  <c r="AF508" i="1"/>
  <c r="AF515" i="1" s="1"/>
  <c r="AE508" i="1"/>
  <c r="AE515" i="1" s="1"/>
  <c r="AC508" i="1"/>
  <c r="AC515" i="1" s="1"/>
  <c r="AB508" i="1"/>
  <c r="AB515" i="1" s="1"/>
  <c r="AA508" i="1"/>
  <c r="AA515" i="1" s="1"/>
  <c r="Z508" i="1"/>
  <c r="Z515" i="1" s="1"/>
  <c r="X508" i="1"/>
  <c r="X515" i="1" s="1"/>
  <c r="W508" i="1"/>
  <c r="W515" i="1" s="1"/>
  <c r="V508" i="1"/>
  <c r="V515" i="1" s="1"/>
  <c r="U508" i="1"/>
  <c r="U515" i="1" s="1"/>
  <c r="T508" i="1"/>
  <c r="T515" i="1" s="1"/>
  <c r="S508" i="1"/>
  <c r="S515" i="1" s="1"/>
  <c r="R508" i="1"/>
  <c r="R515" i="1" s="1"/>
  <c r="Q508" i="1"/>
  <c r="Q515" i="1" s="1"/>
  <c r="P508" i="1"/>
  <c r="P515" i="1" s="1"/>
  <c r="O508" i="1"/>
  <c r="O515" i="1" s="1"/>
  <c r="N508" i="1"/>
  <c r="N515" i="1" s="1"/>
  <c r="M508" i="1"/>
  <c r="M515" i="1" s="1"/>
  <c r="L508" i="1"/>
  <c r="L515" i="1" s="1"/>
  <c r="K508" i="1"/>
  <c r="K515" i="1" s="1"/>
  <c r="J508" i="1"/>
  <c r="J515" i="1" s="1"/>
  <c r="I508" i="1"/>
  <c r="I515" i="1" s="1"/>
  <c r="H508" i="1"/>
  <c r="H515" i="1" s="1"/>
  <c r="G508" i="1"/>
  <c r="G515" i="1" s="1"/>
  <c r="F508" i="1"/>
  <c r="F515" i="1" s="1"/>
  <c r="E508" i="1"/>
  <c r="E515" i="1" s="1"/>
  <c r="D508" i="1"/>
  <c r="D515" i="1" s="1"/>
  <c r="C508" i="1"/>
  <c r="C515" i="1" s="1"/>
  <c r="BC507" i="1"/>
  <c r="AX507" i="1"/>
  <c r="AS507" i="1"/>
  <c r="AS567" i="1" s="1"/>
  <c r="AN507" i="1"/>
  <c r="AN567" i="1" s="1"/>
  <c r="AI507" i="1"/>
  <c r="AI567" i="1" s="1"/>
  <c r="AD507" i="1"/>
  <c r="AD567" i="1" s="1"/>
  <c r="Y507" i="1"/>
  <c r="Y567" i="1" s="1"/>
  <c r="BC506" i="1"/>
  <c r="AX506" i="1"/>
  <c r="AS506" i="1"/>
  <c r="AS566" i="1" s="1"/>
  <c r="AN506" i="1"/>
  <c r="AN566" i="1" s="1"/>
  <c r="AI506" i="1"/>
  <c r="AI566" i="1" s="1"/>
  <c r="AD506" i="1"/>
  <c r="AD566" i="1" s="1"/>
  <c r="Y506" i="1"/>
  <c r="Y566" i="1" s="1"/>
  <c r="BC505" i="1"/>
  <c r="AX505" i="1"/>
  <c r="AS505" i="1"/>
  <c r="AS565" i="1" s="1"/>
  <c r="AN505" i="1"/>
  <c r="AN565" i="1" s="1"/>
  <c r="AI505" i="1"/>
  <c r="AI565" i="1" s="1"/>
  <c r="AD505" i="1"/>
  <c r="AD565" i="1" s="1"/>
  <c r="BC504" i="1"/>
  <c r="AX504" i="1"/>
  <c r="AS504" i="1"/>
  <c r="AS564" i="1" s="1"/>
  <c r="AN504" i="1"/>
  <c r="AN564" i="1" s="1"/>
  <c r="AI504" i="1"/>
  <c r="AI564" i="1" s="1"/>
  <c r="AD504" i="1"/>
  <c r="AD564" i="1" s="1"/>
  <c r="Y504" i="1"/>
  <c r="Y564" i="1" s="1"/>
  <c r="BC503" i="1"/>
  <c r="AX503" i="1"/>
  <c r="AS503" i="1"/>
  <c r="AS563" i="1" s="1"/>
  <c r="AN503" i="1"/>
  <c r="AN563" i="1" s="1"/>
  <c r="AI503" i="1"/>
  <c r="AI563" i="1" s="1"/>
  <c r="AD503" i="1"/>
  <c r="AD563" i="1" s="1"/>
  <c r="Y503" i="1"/>
  <c r="Y563" i="1" s="1"/>
  <c r="BC502" i="1"/>
  <c r="AX502" i="1"/>
  <c r="AS502" i="1"/>
  <c r="AS562" i="1" s="1"/>
  <c r="AN502" i="1"/>
  <c r="AN562" i="1" s="1"/>
  <c r="AI502" i="1"/>
  <c r="AI562" i="1" s="1"/>
  <c r="AD502" i="1"/>
  <c r="AD562" i="1" s="1"/>
  <c r="Y502" i="1"/>
  <c r="Y562" i="1" s="1"/>
  <c r="BC501" i="1"/>
  <c r="AX501" i="1"/>
  <c r="AS501" i="1"/>
  <c r="AS561" i="1" s="1"/>
  <c r="AS444" i="1" s="1"/>
  <c r="AN501" i="1"/>
  <c r="AN561" i="1" s="1"/>
  <c r="AN444" i="1" s="1"/>
  <c r="AI501" i="1"/>
  <c r="AI561" i="1" s="1"/>
  <c r="AI444" i="1" s="1"/>
  <c r="AD501" i="1"/>
  <c r="AD561" i="1" s="1"/>
  <c r="AD444" i="1" s="1"/>
  <c r="Y501" i="1"/>
  <c r="Y561" i="1" s="1"/>
  <c r="Y444" i="1" s="1"/>
  <c r="BC500" i="1"/>
  <c r="AX500" i="1"/>
  <c r="AS500" i="1"/>
  <c r="AS560" i="1" s="1"/>
  <c r="AN500" i="1"/>
  <c r="AN560" i="1" s="1"/>
  <c r="AI500" i="1"/>
  <c r="AI560" i="1" s="1"/>
  <c r="AD500" i="1"/>
  <c r="AD560" i="1" s="1"/>
  <c r="Y500" i="1"/>
  <c r="Y560" i="1" s="1"/>
  <c r="BC499" i="1"/>
  <c r="AX499" i="1"/>
  <c r="AS499" i="1"/>
  <c r="AS559" i="1" s="1"/>
  <c r="AN499" i="1"/>
  <c r="AN559" i="1" s="1"/>
  <c r="AI499" i="1"/>
  <c r="AI559" i="1" s="1"/>
  <c r="AD499" i="1"/>
  <c r="AD559" i="1" s="1"/>
  <c r="Y499" i="1"/>
  <c r="Y559" i="1" s="1"/>
  <c r="BC498" i="1"/>
  <c r="AX498" i="1"/>
  <c r="AS498" i="1"/>
  <c r="AS558" i="1" s="1"/>
  <c r="AN498" i="1"/>
  <c r="AN558" i="1" s="1"/>
  <c r="AN634" i="1" s="1"/>
  <c r="AI498" i="1"/>
  <c r="AI558" i="1" s="1"/>
  <c r="AI634" i="1" s="1"/>
  <c r="AD498" i="1"/>
  <c r="AD558" i="1" s="1"/>
  <c r="AD634" i="1" s="1"/>
  <c r="Y498" i="1"/>
  <c r="Y558" i="1" s="1"/>
  <c r="BC497" i="1"/>
  <c r="AX497" i="1"/>
  <c r="AS497" i="1"/>
  <c r="AS557" i="1" s="1"/>
  <c r="AN497" i="1"/>
  <c r="AN557" i="1" s="1"/>
  <c r="AI497" i="1"/>
  <c r="AI557" i="1" s="1"/>
  <c r="AD497" i="1"/>
  <c r="AD557" i="1" s="1"/>
  <c r="Y497" i="1"/>
  <c r="Y557" i="1" s="1"/>
  <c r="BC496" i="1"/>
  <c r="AX496" i="1"/>
  <c r="AS496" i="1"/>
  <c r="AS556" i="1" s="1"/>
  <c r="AS635" i="1" s="1"/>
  <c r="AN496" i="1"/>
  <c r="AN556" i="1" s="1"/>
  <c r="AN635" i="1" s="1"/>
  <c r="AI496" i="1"/>
  <c r="AI556" i="1" s="1"/>
  <c r="AI635" i="1" s="1"/>
  <c r="AD496" i="1"/>
  <c r="AD556" i="1" s="1"/>
  <c r="AD635" i="1" s="1"/>
  <c r="Y496" i="1"/>
  <c r="Y556" i="1" s="1"/>
  <c r="Y635" i="1" s="1"/>
  <c r="BC495" i="1"/>
  <c r="BC508" i="1" s="1"/>
  <c r="BC515" i="1" s="1"/>
  <c r="AX495" i="1"/>
  <c r="AX508" i="1" s="1"/>
  <c r="AX515" i="1" s="1"/>
  <c r="AS495" i="1"/>
  <c r="AS508" i="1" s="1"/>
  <c r="AS515" i="1" s="1"/>
  <c r="AN495" i="1"/>
  <c r="AN508" i="1" s="1"/>
  <c r="AN515" i="1" s="1"/>
  <c r="AI495" i="1"/>
  <c r="AI508" i="1" s="1"/>
  <c r="AI515" i="1" s="1"/>
  <c r="AD495" i="1"/>
  <c r="AD555" i="1" s="1"/>
  <c r="Y495" i="1"/>
  <c r="Y508" i="1" s="1"/>
  <c r="Y515" i="1" s="1"/>
  <c r="BG489" i="1"/>
  <c r="BG10" i="9" s="1"/>
  <c r="BF489" i="1"/>
  <c r="BF10" i="9" s="1"/>
  <c r="BE489" i="1"/>
  <c r="BE10" i="9" s="1"/>
  <c r="BD489" i="1"/>
  <c r="BD10" i="9" s="1"/>
  <c r="BC489" i="1"/>
  <c r="BC10" i="9" s="1"/>
  <c r="BB489" i="1"/>
  <c r="BB10" i="9" s="1"/>
  <c r="BA489" i="1"/>
  <c r="BA10" i="9" s="1"/>
  <c r="AZ489" i="1"/>
  <c r="AZ10" i="9" s="1"/>
  <c r="AY489" i="1"/>
  <c r="AY10" i="9" s="1"/>
  <c r="AX489" i="1"/>
  <c r="AX10" i="9" s="1"/>
  <c r="AW489" i="1"/>
  <c r="AW10" i="9" s="1"/>
  <c r="AV489" i="1"/>
  <c r="AV10" i="9" s="1"/>
  <c r="AU489" i="1"/>
  <c r="AU10" i="9" s="1"/>
  <c r="AT489" i="1"/>
  <c r="AT10" i="9" s="1"/>
  <c r="AS489" i="1"/>
  <c r="AS10" i="9" s="1"/>
  <c r="AR489" i="1"/>
  <c r="AR10" i="9" s="1"/>
  <c r="AQ489" i="1"/>
  <c r="AQ10" i="9" s="1"/>
  <c r="AP489" i="1"/>
  <c r="AP10" i="9" s="1"/>
  <c r="AO489" i="1"/>
  <c r="AO10" i="9" s="1"/>
  <c r="AN489" i="1"/>
  <c r="AN10" i="9" s="1"/>
  <c r="AM489" i="1"/>
  <c r="AM10" i="9" s="1"/>
  <c r="AL489" i="1"/>
  <c r="AL10" i="9" s="1"/>
  <c r="AK489" i="1"/>
  <c r="AK10" i="9" s="1"/>
  <c r="AJ489" i="1"/>
  <c r="AJ10" i="9" s="1"/>
  <c r="AI489" i="1"/>
  <c r="AI10" i="9" s="1"/>
  <c r="AH489" i="1"/>
  <c r="AH10" i="9" s="1"/>
  <c r="AG489" i="1"/>
  <c r="AG10" i="9" s="1"/>
  <c r="AF489" i="1"/>
  <c r="AF10" i="9" s="1"/>
  <c r="AE489" i="1"/>
  <c r="AE10" i="9" s="1"/>
  <c r="AD489" i="1"/>
  <c r="AD10" i="9" s="1"/>
  <c r="AC489" i="1"/>
  <c r="AC10" i="9" s="1"/>
  <c r="AB489" i="1"/>
  <c r="AB10" i="9" s="1"/>
  <c r="AA489" i="1"/>
  <c r="AA10" i="9" s="1"/>
  <c r="Z489" i="1"/>
  <c r="Z10" i="9" s="1"/>
  <c r="Y489" i="1"/>
  <c r="Y10" i="9" s="1"/>
  <c r="X489" i="1"/>
  <c r="X10" i="9" s="1"/>
  <c r="W489" i="1"/>
  <c r="W10" i="9" s="1"/>
  <c r="V489" i="1"/>
  <c r="V10" i="9" s="1"/>
  <c r="U489" i="1"/>
  <c r="U10" i="9" s="1"/>
  <c r="T489" i="1"/>
  <c r="T10" i="9" s="1"/>
  <c r="S489" i="1"/>
  <c r="S10" i="9" s="1"/>
  <c r="R489" i="1"/>
  <c r="R10" i="9" s="1"/>
  <c r="Q489" i="1"/>
  <c r="Q10" i="9" s="1"/>
  <c r="P489" i="1"/>
  <c r="P10" i="9" s="1"/>
  <c r="O489" i="1"/>
  <c r="O10" i="9" s="1"/>
  <c r="N489" i="1"/>
  <c r="N10" i="9" s="1"/>
  <c r="M489" i="1"/>
  <c r="M10" i="9" s="1"/>
  <c r="L489" i="1"/>
  <c r="L10" i="9" s="1"/>
  <c r="K489" i="1"/>
  <c r="K10" i="9" s="1"/>
  <c r="J489" i="1"/>
  <c r="J10" i="9" s="1"/>
  <c r="I489" i="1"/>
  <c r="I10" i="9" s="1"/>
  <c r="H489" i="1"/>
  <c r="H10" i="9" s="1"/>
  <c r="G489" i="1"/>
  <c r="G10" i="9" s="1"/>
  <c r="F489" i="1"/>
  <c r="F10" i="9" s="1"/>
  <c r="E489" i="1"/>
  <c r="E10" i="9" s="1"/>
  <c r="D489" i="1"/>
  <c r="D10" i="9" s="1"/>
  <c r="C489" i="1"/>
  <c r="C10" i="9" s="1"/>
  <c r="BG484" i="1"/>
  <c r="BF484" i="1"/>
  <c r="BE484" i="1"/>
  <c r="BD484" i="1"/>
  <c r="BC484" i="1"/>
  <c r="BB484" i="1"/>
  <c r="BA484" i="1"/>
  <c r="AZ484" i="1"/>
  <c r="AY484" i="1"/>
  <c r="AX484" i="1"/>
  <c r="BG483" i="1"/>
  <c r="BF483" i="1"/>
  <c r="BE483" i="1"/>
  <c r="BD483" i="1"/>
  <c r="BC483" i="1"/>
  <c r="BB483" i="1"/>
  <c r="BA483" i="1"/>
  <c r="AZ483" i="1"/>
  <c r="AY483" i="1"/>
  <c r="AX483" i="1"/>
  <c r="BG482" i="1"/>
  <c r="BF482" i="1"/>
  <c r="BE482" i="1"/>
  <c r="BD482" i="1"/>
  <c r="BC482" i="1"/>
  <c r="BB482" i="1"/>
  <c r="BA482" i="1"/>
  <c r="AZ482" i="1"/>
  <c r="AY482" i="1"/>
  <c r="AX482" i="1"/>
  <c r="A480" i="1"/>
  <c r="A479" i="1"/>
  <c r="A478" i="1"/>
  <c r="A477" i="1"/>
  <c r="A749" i="1" s="1"/>
  <c r="A476" i="1"/>
  <c r="A750" i="1" s="1"/>
  <c r="A474" i="1"/>
  <c r="A473" i="1"/>
  <c r="A472" i="1"/>
  <c r="AW462" i="1"/>
  <c r="AV462" i="1"/>
  <c r="AU462" i="1"/>
  <c r="AT462" i="1"/>
  <c r="AT463" i="1" s="1"/>
  <c r="AR462" i="1"/>
  <c r="AQ462" i="1"/>
  <c r="AP462" i="1"/>
  <c r="AO462" i="1"/>
  <c r="AO463" i="1" s="1"/>
  <c r="AM462" i="1"/>
  <c r="AL462" i="1"/>
  <c r="AK462" i="1"/>
  <c r="AJ462" i="1"/>
  <c r="AJ463" i="1" s="1"/>
  <c r="AH462" i="1"/>
  <c r="AG462" i="1"/>
  <c r="AF462" i="1"/>
  <c r="AE462" i="1"/>
  <c r="AE463" i="1" s="1"/>
  <c r="AC462" i="1"/>
  <c r="AB462" i="1"/>
  <c r="AA462" i="1"/>
  <c r="Z462" i="1"/>
  <c r="Z463" i="1" s="1"/>
  <c r="X462" i="1"/>
  <c r="W462" i="1"/>
  <c r="V462" i="1"/>
  <c r="U462" i="1"/>
  <c r="U463" i="1" s="1"/>
  <c r="S462" i="1"/>
  <c r="R462" i="1"/>
  <c r="Q462" i="1"/>
  <c r="P462" i="1"/>
  <c r="P463" i="1" s="1"/>
  <c r="N462" i="1"/>
  <c r="M462" i="1"/>
  <c r="L462" i="1"/>
  <c r="K462" i="1"/>
  <c r="K463" i="1" s="1"/>
  <c r="I462" i="1"/>
  <c r="H462" i="1"/>
  <c r="G462" i="1"/>
  <c r="F462" i="1"/>
  <c r="F463" i="1" s="1"/>
  <c r="E462" i="1"/>
  <c r="E463" i="1" s="1"/>
  <c r="D462" i="1"/>
  <c r="D463" i="1" s="1"/>
  <c r="C462" i="1"/>
  <c r="BG457" i="1"/>
  <c r="BG9" i="9" s="1"/>
  <c r="BF457" i="1"/>
  <c r="BF9" i="9" s="1"/>
  <c r="BE457" i="1"/>
  <c r="BE9" i="9" s="1"/>
  <c r="BD457" i="1"/>
  <c r="BD9" i="9" s="1"/>
  <c r="BC457" i="1"/>
  <c r="BC9" i="9" s="1"/>
  <c r="BB457" i="1"/>
  <c r="BB9" i="9" s="1"/>
  <c r="BA457" i="1"/>
  <c r="BA9" i="9" s="1"/>
  <c r="AZ457" i="1"/>
  <c r="AZ9" i="9" s="1"/>
  <c r="AY457" i="1"/>
  <c r="AY9" i="9" s="1"/>
  <c r="AX457" i="1"/>
  <c r="AX9" i="9" s="1"/>
  <c r="AW457" i="1"/>
  <c r="AW9" i="9" s="1"/>
  <c r="AV457" i="1"/>
  <c r="AV9" i="9" s="1"/>
  <c r="AU457" i="1"/>
  <c r="AU9" i="9" s="1"/>
  <c r="AT457" i="1"/>
  <c r="AT9" i="9" s="1"/>
  <c r="AS457" i="1"/>
  <c r="AS9" i="9" s="1"/>
  <c r="AR457" i="1"/>
  <c r="AR9" i="9" s="1"/>
  <c r="AQ457" i="1"/>
  <c r="AQ9" i="9" s="1"/>
  <c r="AP457" i="1"/>
  <c r="AP9" i="9" s="1"/>
  <c r="AO457" i="1"/>
  <c r="AO9" i="9" s="1"/>
  <c r="AN457" i="1"/>
  <c r="AN9" i="9" s="1"/>
  <c r="AM457" i="1"/>
  <c r="AM9" i="9" s="1"/>
  <c r="AL457" i="1"/>
  <c r="AL9" i="9" s="1"/>
  <c r="AK457" i="1"/>
  <c r="AK9" i="9" s="1"/>
  <c r="AJ457" i="1"/>
  <c r="AJ9" i="9" s="1"/>
  <c r="AI457" i="1"/>
  <c r="AI9" i="9" s="1"/>
  <c r="AH457" i="1"/>
  <c r="AH9" i="9" s="1"/>
  <c r="AG457" i="1"/>
  <c r="AG9" i="9" s="1"/>
  <c r="AF457" i="1"/>
  <c r="AF9" i="9" s="1"/>
  <c r="AE457" i="1"/>
  <c r="AE9" i="9" s="1"/>
  <c r="AD457" i="1"/>
  <c r="AD9" i="9" s="1"/>
  <c r="AC457" i="1"/>
  <c r="AC9" i="9" s="1"/>
  <c r="AB457" i="1"/>
  <c r="AB9" i="9" s="1"/>
  <c r="AA457" i="1"/>
  <c r="AA9" i="9" s="1"/>
  <c r="Z457" i="1"/>
  <c r="Z9" i="9" s="1"/>
  <c r="Y457" i="1"/>
  <c r="Y9" i="9" s="1"/>
  <c r="X457" i="1"/>
  <c r="X9" i="9" s="1"/>
  <c r="W457" i="1"/>
  <c r="W9" i="9" s="1"/>
  <c r="V457" i="1"/>
  <c r="V9" i="9" s="1"/>
  <c r="U457" i="1"/>
  <c r="U9" i="9" s="1"/>
  <c r="T457" i="1"/>
  <c r="T9" i="9" s="1"/>
  <c r="S457" i="1"/>
  <c r="S9" i="9" s="1"/>
  <c r="R457" i="1"/>
  <c r="R9" i="9" s="1"/>
  <c r="Q457" i="1"/>
  <c r="Q9" i="9" s="1"/>
  <c r="P457" i="1"/>
  <c r="P9" i="9" s="1"/>
  <c r="O457" i="1"/>
  <c r="O9" i="9" s="1"/>
  <c r="N457" i="1"/>
  <c r="N9" i="9" s="1"/>
  <c r="M457" i="1"/>
  <c r="M9" i="9" s="1"/>
  <c r="L457" i="1"/>
  <c r="L9" i="9" s="1"/>
  <c r="K457" i="1"/>
  <c r="K9" i="9" s="1"/>
  <c r="J457" i="1"/>
  <c r="J9" i="9" s="1"/>
  <c r="I457" i="1"/>
  <c r="I9" i="9" s="1"/>
  <c r="H457" i="1"/>
  <c r="H9" i="9" s="1"/>
  <c r="G457" i="1"/>
  <c r="G9" i="9" s="1"/>
  <c r="F457" i="1"/>
  <c r="F9" i="9" s="1"/>
  <c r="E457" i="1"/>
  <c r="E9" i="9" s="1"/>
  <c r="D457" i="1"/>
  <c r="D9" i="9" s="1"/>
  <c r="C457" i="1"/>
  <c r="C9" i="9" s="1"/>
  <c r="AW456" i="1"/>
  <c r="AW458" i="1" s="1"/>
  <c r="AV456" i="1"/>
  <c r="AU456" i="1"/>
  <c r="AT456" i="1"/>
  <c r="AT458" i="1" s="1"/>
  <c r="AS456" i="1"/>
  <c r="AS458" i="1" s="1"/>
  <c r="AR456" i="1"/>
  <c r="AQ456" i="1"/>
  <c r="AP456" i="1"/>
  <c r="AP458" i="1" s="1"/>
  <c r="AO456" i="1"/>
  <c r="AO458" i="1" s="1"/>
  <c r="AN456" i="1"/>
  <c r="AM456" i="1"/>
  <c r="AL456" i="1"/>
  <c r="AL458" i="1" s="1"/>
  <c r="AK456" i="1"/>
  <c r="AK458" i="1" s="1"/>
  <c r="AJ456" i="1"/>
  <c r="AI456" i="1"/>
  <c r="AH456" i="1"/>
  <c r="AH458" i="1" s="1"/>
  <c r="AG456" i="1"/>
  <c r="AG458" i="1" s="1"/>
  <c r="AF456" i="1"/>
  <c r="AE456" i="1"/>
  <c r="AD456" i="1"/>
  <c r="AD458" i="1" s="1"/>
  <c r="AC456" i="1"/>
  <c r="AC458" i="1" s="1"/>
  <c r="AB456" i="1"/>
  <c r="AA456" i="1"/>
  <c r="Z456" i="1"/>
  <c r="Z458" i="1" s="1"/>
  <c r="Y456" i="1"/>
  <c r="Y458" i="1" s="1"/>
  <c r="X456" i="1"/>
  <c r="W456" i="1"/>
  <c r="V456" i="1"/>
  <c r="V458" i="1" s="1"/>
  <c r="U456" i="1"/>
  <c r="U458" i="1" s="1"/>
  <c r="T456" i="1"/>
  <c r="S456" i="1"/>
  <c r="R456" i="1"/>
  <c r="R458" i="1" s="1"/>
  <c r="Q456" i="1"/>
  <c r="Q458" i="1" s="1"/>
  <c r="P456" i="1"/>
  <c r="O456" i="1"/>
  <c r="N456" i="1"/>
  <c r="N458" i="1" s="1"/>
  <c r="M456" i="1"/>
  <c r="M458" i="1" s="1"/>
  <c r="L456" i="1"/>
  <c r="K456" i="1"/>
  <c r="J456" i="1"/>
  <c r="J458" i="1" s="1"/>
  <c r="I456" i="1"/>
  <c r="I458" i="1" s="1"/>
  <c r="I104" i="9" s="1"/>
  <c r="H456" i="1"/>
  <c r="G456" i="1"/>
  <c r="F456" i="1"/>
  <c r="F458" i="1" s="1"/>
  <c r="E456" i="1"/>
  <c r="E458" i="1" s="1"/>
  <c r="D456" i="1"/>
  <c r="C456" i="1"/>
  <c r="AW455" i="1"/>
  <c r="AX455" i="1" s="1"/>
  <c r="AX689" i="1" s="1"/>
  <c r="AY689" i="1" s="1"/>
  <c r="AV455" i="1"/>
  <c r="AU455" i="1"/>
  <c r="AT455" i="1"/>
  <c r="AS455" i="1"/>
  <c r="AR455" i="1"/>
  <c r="AQ455" i="1"/>
  <c r="AP455" i="1"/>
  <c r="AO455" i="1"/>
  <c r="AN455" i="1"/>
  <c r="AM455" i="1"/>
  <c r="AL455" i="1"/>
  <c r="AK455" i="1"/>
  <c r="AJ455" i="1"/>
  <c r="AI455" i="1"/>
  <c r="AH455" i="1"/>
  <c r="AG455" i="1"/>
  <c r="AF455" i="1"/>
  <c r="AE455" i="1"/>
  <c r="AD455" i="1"/>
  <c r="AC455" i="1"/>
  <c r="AB455" i="1"/>
  <c r="AA455" i="1"/>
  <c r="Z455" i="1"/>
  <c r="Y455" i="1"/>
  <c r="X455" i="1"/>
  <c r="W455" i="1"/>
  <c r="V455" i="1"/>
  <c r="U455" i="1"/>
  <c r="T455" i="1"/>
  <c r="S455" i="1"/>
  <c r="R455" i="1"/>
  <c r="Q455" i="1"/>
  <c r="P455" i="1"/>
  <c r="O455" i="1"/>
  <c r="N455" i="1"/>
  <c r="M455" i="1"/>
  <c r="L455" i="1"/>
  <c r="K455" i="1"/>
  <c r="J455" i="1"/>
  <c r="I455" i="1"/>
  <c r="H455" i="1"/>
  <c r="G455" i="1"/>
  <c r="F455" i="1"/>
  <c r="E455" i="1"/>
  <c r="D455" i="1"/>
  <c r="C455" i="1"/>
  <c r="AW454" i="1"/>
  <c r="AV454" i="1"/>
  <c r="AU454" i="1"/>
  <c r="AT454" i="1"/>
  <c r="AS454" i="1"/>
  <c r="AR454" i="1"/>
  <c r="AQ454" i="1"/>
  <c r="AP454" i="1"/>
  <c r="AO454" i="1"/>
  <c r="AN454" i="1"/>
  <c r="AM454" i="1"/>
  <c r="AL454" i="1"/>
  <c r="AK454" i="1"/>
  <c r="AJ454" i="1"/>
  <c r="AI454" i="1"/>
  <c r="AH454" i="1"/>
  <c r="AG454" i="1"/>
  <c r="AF454" i="1"/>
  <c r="AE454" i="1"/>
  <c r="AD454" i="1"/>
  <c r="AC454" i="1"/>
  <c r="AB454" i="1"/>
  <c r="AA454" i="1"/>
  <c r="Z454" i="1"/>
  <c r="Y454" i="1"/>
  <c r="X454" i="1"/>
  <c r="W454" i="1"/>
  <c r="V454" i="1"/>
  <c r="U454" i="1"/>
  <c r="T454" i="1"/>
  <c r="S454" i="1"/>
  <c r="R454" i="1"/>
  <c r="Q454" i="1"/>
  <c r="P454" i="1"/>
  <c r="O454" i="1"/>
  <c r="N454" i="1"/>
  <c r="M454" i="1"/>
  <c r="L454" i="1"/>
  <c r="K454" i="1"/>
  <c r="J454" i="1"/>
  <c r="I454" i="1"/>
  <c r="H454" i="1"/>
  <c r="G454" i="1"/>
  <c r="F454" i="1"/>
  <c r="E454" i="1"/>
  <c r="D454" i="1"/>
  <c r="C454" i="1"/>
  <c r="AW453" i="1"/>
  <c r="AV453" i="1"/>
  <c r="AU453" i="1"/>
  <c r="AT453" i="1"/>
  <c r="AS453" i="1"/>
  <c r="AR453" i="1"/>
  <c r="AQ453" i="1"/>
  <c r="AP453" i="1"/>
  <c r="AO453" i="1"/>
  <c r="AN453" i="1"/>
  <c r="AM453" i="1"/>
  <c r="AL453" i="1"/>
  <c r="AK453" i="1"/>
  <c r="AJ453" i="1"/>
  <c r="AI453" i="1"/>
  <c r="AH453" i="1"/>
  <c r="AG453" i="1"/>
  <c r="AF453" i="1"/>
  <c r="AE453" i="1"/>
  <c r="AD453" i="1"/>
  <c r="AC453" i="1"/>
  <c r="AB453" i="1"/>
  <c r="AA453" i="1"/>
  <c r="Z453" i="1"/>
  <c r="Y453" i="1"/>
  <c r="X453" i="1"/>
  <c r="W453" i="1"/>
  <c r="V453" i="1"/>
  <c r="U453" i="1"/>
  <c r="T453" i="1"/>
  <c r="S453" i="1"/>
  <c r="R453" i="1"/>
  <c r="Q453" i="1"/>
  <c r="P453" i="1"/>
  <c r="O453" i="1"/>
  <c r="N453" i="1"/>
  <c r="M453" i="1"/>
  <c r="L453" i="1"/>
  <c r="K453" i="1"/>
  <c r="J453" i="1"/>
  <c r="I453" i="1"/>
  <c r="H453" i="1"/>
  <c r="G453" i="1"/>
  <c r="F453" i="1"/>
  <c r="E453" i="1"/>
  <c r="D453" i="1"/>
  <c r="C453" i="1"/>
  <c r="AW444" i="1"/>
  <c r="AV444" i="1"/>
  <c r="AU444" i="1"/>
  <c r="AT444" i="1"/>
  <c r="AR444" i="1"/>
  <c r="AQ444" i="1"/>
  <c r="AP444" i="1"/>
  <c r="AO444" i="1"/>
  <c r="AM444" i="1"/>
  <c r="AL444" i="1"/>
  <c r="AK444" i="1"/>
  <c r="AJ444" i="1"/>
  <c r="AH444" i="1"/>
  <c r="AG444" i="1"/>
  <c r="AF444" i="1"/>
  <c r="AE444" i="1"/>
  <c r="AC444" i="1"/>
  <c r="AB444" i="1"/>
  <c r="AA444" i="1"/>
  <c r="Z444" i="1"/>
  <c r="X444" i="1"/>
  <c r="W444" i="1"/>
  <c r="V444" i="1"/>
  <c r="U444" i="1"/>
  <c r="T444" i="1"/>
  <c r="S444" i="1"/>
  <c r="R444" i="1"/>
  <c r="Q444" i="1"/>
  <c r="P444" i="1"/>
  <c r="O444" i="1"/>
  <c r="N444" i="1"/>
  <c r="M444" i="1"/>
  <c r="L444" i="1"/>
  <c r="K444" i="1"/>
  <c r="J444" i="1"/>
  <c r="I444" i="1"/>
  <c r="H444" i="1"/>
  <c r="G444" i="1"/>
  <c r="F444" i="1"/>
  <c r="E444" i="1"/>
  <c r="D444" i="1"/>
  <c r="C444" i="1"/>
  <c r="BD442" i="1"/>
  <c r="AY442" i="1"/>
  <c r="BD441" i="1"/>
  <c r="BD75" i="9" s="1"/>
  <c r="AY441" i="1"/>
  <c r="AY75" i="9" s="1"/>
  <c r="AW441" i="1"/>
  <c r="AW75" i="9" s="1"/>
  <c r="AV441" i="1"/>
  <c r="AV75" i="9" s="1"/>
  <c r="AU441" i="1"/>
  <c r="AU75" i="9" s="1"/>
  <c r="AT441" i="1"/>
  <c r="AT75" i="9" s="1"/>
  <c r="AS441" i="1"/>
  <c r="AS75" i="9" s="1"/>
  <c r="AR441" i="1"/>
  <c r="AR75" i="9" s="1"/>
  <c r="AQ441" i="1"/>
  <c r="AQ75" i="9" s="1"/>
  <c r="AP441" i="1"/>
  <c r="AP75" i="9" s="1"/>
  <c r="AO441" i="1"/>
  <c r="AO75" i="9" s="1"/>
  <c r="AN441" i="1"/>
  <c r="AN75" i="9" s="1"/>
  <c r="AM441" i="1"/>
  <c r="AM75" i="9" s="1"/>
  <c r="AL441" i="1"/>
  <c r="AL75" i="9" s="1"/>
  <c r="AK441" i="1"/>
  <c r="AK75" i="9" s="1"/>
  <c r="AJ441" i="1"/>
  <c r="AJ75" i="9" s="1"/>
  <c r="AI441" i="1"/>
  <c r="AI75" i="9" s="1"/>
  <c r="AH441" i="1"/>
  <c r="AH75" i="9" s="1"/>
  <c r="AG441" i="1"/>
  <c r="AG75" i="9" s="1"/>
  <c r="AF441" i="1"/>
  <c r="AF75" i="9" s="1"/>
  <c r="AE441" i="1"/>
  <c r="AE75" i="9" s="1"/>
  <c r="AD441" i="1"/>
  <c r="AD75" i="9" s="1"/>
  <c r="AC441" i="1"/>
  <c r="AC75" i="9" s="1"/>
  <c r="AB441" i="1"/>
  <c r="AB75" i="9" s="1"/>
  <c r="AA441" i="1"/>
  <c r="AA75" i="9" s="1"/>
  <c r="Z441" i="1"/>
  <c r="Z75" i="9" s="1"/>
  <c r="Y441" i="1"/>
  <c r="Y75" i="9" s="1"/>
  <c r="X441" i="1"/>
  <c r="X75" i="9" s="1"/>
  <c r="W441" i="1"/>
  <c r="W75" i="9" s="1"/>
  <c r="V441" i="1"/>
  <c r="V75" i="9" s="1"/>
  <c r="U441" i="1"/>
  <c r="U75" i="9" s="1"/>
  <c r="T441" i="1"/>
  <c r="T75" i="9" s="1"/>
  <c r="S441" i="1"/>
  <c r="S75" i="9" s="1"/>
  <c r="R441" i="1"/>
  <c r="R75" i="9" s="1"/>
  <c r="Q441" i="1"/>
  <c r="Q75" i="9" s="1"/>
  <c r="P441" i="1"/>
  <c r="P75" i="9" s="1"/>
  <c r="O441" i="1"/>
  <c r="O75" i="9" s="1"/>
  <c r="N441" i="1"/>
  <c r="N75" i="9" s="1"/>
  <c r="M441" i="1"/>
  <c r="M75" i="9" s="1"/>
  <c r="L441" i="1"/>
  <c r="L75" i="9" s="1"/>
  <c r="K441" i="1"/>
  <c r="K75" i="9" s="1"/>
  <c r="J441" i="1"/>
  <c r="J75" i="9" s="1"/>
  <c r="I441" i="1"/>
  <c r="I75" i="9" s="1"/>
  <c r="H441" i="1"/>
  <c r="H75" i="9" s="1"/>
  <c r="G441" i="1"/>
  <c r="G75" i="9" s="1"/>
  <c r="F441" i="1"/>
  <c r="F75" i="9" s="1"/>
  <c r="E441" i="1"/>
  <c r="E75" i="9" s="1"/>
  <c r="D441" i="1"/>
  <c r="D75" i="9" s="1"/>
  <c r="C441" i="1"/>
  <c r="C75" i="9" s="1"/>
  <c r="BD440" i="1"/>
  <c r="BD76" i="9" s="1"/>
  <c r="AY440" i="1"/>
  <c r="AY76" i="9" s="1"/>
  <c r="AW440" i="1"/>
  <c r="AW76" i="9" s="1"/>
  <c r="AV440" i="1"/>
  <c r="AV76" i="9" s="1"/>
  <c r="AU440" i="1"/>
  <c r="AU76" i="9" s="1"/>
  <c r="AT440" i="1"/>
  <c r="AT76" i="9" s="1"/>
  <c r="AS440" i="1"/>
  <c r="AS76" i="9" s="1"/>
  <c r="AR440" i="1"/>
  <c r="AR76" i="9" s="1"/>
  <c r="AQ440" i="1"/>
  <c r="AQ76" i="9" s="1"/>
  <c r="AP440" i="1"/>
  <c r="AP76" i="9" s="1"/>
  <c r="AO440" i="1"/>
  <c r="AO76" i="9" s="1"/>
  <c r="AN440" i="1"/>
  <c r="AN76" i="9" s="1"/>
  <c r="AM440" i="1"/>
  <c r="AM76" i="9" s="1"/>
  <c r="AL440" i="1"/>
  <c r="AL76" i="9" s="1"/>
  <c r="AK440" i="1"/>
  <c r="AK76" i="9" s="1"/>
  <c r="AJ440" i="1"/>
  <c r="AJ76" i="9" s="1"/>
  <c r="AI440" i="1"/>
  <c r="AI76" i="9" s="1"/>
  <c r="AH440" i="1"/>
  <c r="AH76" i="9" s="1"/>
  <c r="AG440" i="1"/>
  <c r="AG76" i="9" s="1"/>
  <c r="AF440" i="1"/>
  <c r="AF76" i="9" s="1"/>
  <c r="AE440" i="1"/>
  <c r="AE76" i="9" s="1"/>
  <c r="AD440" i="1"/>
  <c r="AD76" i="9" s="1"/>
  <c r="AC440" i="1"/>
  <c r="AC76" i="9" s="1"/>
  <c r="AB440" i="1"/>
  <c r="AB76" i="9" s="1"/>
  <c r="AA440" i="1"/>
  <c r="AA76" i="9" s="1"/>
  <c r="Z440" i="1"/>
  <c r="Z76" i="9" s="1"/>
  <c r="Y440" i="1"/>
  <c r="Y76" i="9" s="1"/>
  <c r="X440" i="1"/>
  <c r="X76" i="9" s="1"/>
  <c r="W440" i="1"/>
  <c r="W76" i="9" s="1"/>
  <c r="V440" i="1"/>
  <c r="V76" i="9" s="1"/>
  <c r="U440" i="1"/>
  <c r="U76" i="9" s="1"/>
  <c r="T440" i="1"/>
  <c r="T76" i="9" s="1"/>
  <c r="S440" i="1"/>
  <c r="S76" i="9" s="1"/>
  <c r="R440" i="1"/>
  <c r="R76" i="9" s="1"/>
  <c r="Q440" i="1"/>
  <c r="Q76" i="9" s="1"/>
  <c r="P440" i="1"/>
  <c r="P76" i="9" s="1"/>
  <c r="O440" i="1"/>
  <c r="O76" i="9" s="1"/>
  <c r="N440" i="1"/>
  <c r="N76" i="9" s="1"/>
  <c r="M440" i="1"/>
  <c r="M76" i="9" s="1"/>
  <c r="L440" i="1"/>
  <c r="L76" i="9" s="1"/>
  <c r="K440" i="1"/>
  <c r="K76" i="9" s="1"/>
  <c r="J440" i="1"/>
  <c r="J76" i="9" s="1"/>
  <c r="I440" i="1"/>
  <c r="I76" i="9" s="1"/>
  <c r="H440" i="1"/>
  <c r="H76" i="9" s="1"/>
  <c r="G440" i="1"/>
  <c r="G76" i="9" s="1"/>
  <c r="F440" i="1"/>
  <c r="F76" i="9" s="1"/>
  <c r="E440" i="1"/>
  <c r="E76" i="9" s="1"/>
  <c r="D440" i="1"/>
  <c r="D76" i="9" s="1"/>
  <c r="C440" i="1"/>
  <c r="C76" i="9" s="1"/>
  <c r="BD438" i="1"/>
  <c r="BD82" i="9" s="1"/>
  <c r="AY438" i="1"/>
  <c r="AY82" i="9" s="1"/>
  <c r="AT438" i="1"/>
  <c r="AT82" i="9" s="1"/>
  <c r="AO438" i="1"/>
  <c r="AO82" i="9" s="1"/>
  <c r="AJ438" i="1"/>
  <c r="AJ82" i="9" s="1"/>
  <c r="AE438" i="1"/>
  <c r="AE82" i="9" s="1"/>
  <c r="Z438" i="1"/>
  <c r="Z82" i="9" s="1"/>
  <c r="U438" i="1"/>
  <c r="U82" i="9" s="1"/>
  <c r="P438" i="1"/>
  <c r="P82" i="9" s="1"/>
  <c r="K438" i="1"/>
  <c r="K82" i="9" s="1"/>
  <c r="AW437" i="1"/>
  <c r="AW70" i="9" s="1"/>
  <c r="AV437" i="1"/>
  <c r="AV70" i="9" s="1"/>
  <c r="AU437" i="1"/>
  <c r="AU70" i="9" s="1"/>
  <c r="AT437" i="1"/>
  <c r="AT70" i="9" s="1"/>
  <c r="AS437" i="1"/>
  <c r="AS70" i="9" s="1"/>
  <c r="AR437" i="1"/>
  <c r="AR70" i="9" s="1"/>
  <c r="AQ437" i="1"/>
  <c r="AQ70" i="9" s="1"/>
  <c r="AP437" i="1"/>
  <c r="AP70" i="9" s="1"/>
  <c r="AO437" i="1"/>
  <c r="AO70" i="9" s="1"/>
  <c r="AN437" i="1"/>
  <c r="AN70" i="9" s="1"/>
  <c r="AM437" i="1"/>
  <c r="AM70" i="9" s="1"/>
  <c r="AL437" i="1"/>
  <c r="AL70" i="9" s="1"/>
  <c r="AK437" i="1"/>
  <c r="AK70" i="9" s="1"/>
  <c r="AJ437" i="1"/>
  <c r="AJ70" i="9" s="1"/>
  <c r="AI437" i="1"/>
  <c r="AI70" i="9" s="1"/>
  <c r="AH437" i="1"/>
  <c r="AH70" i="9" s="1"/>
  <c r="AG437" i="1"/>
  <c r="AG70" i="9" s="1"/>
  <c r="AF437" i="1"/>
  <c r="AF70" i="9" s="1"/>
  <c r="AE437" i="1"/>
  <c r="AE70" i="9" s="1"/>
  <c r="AD437" i="1"/>
  <c r="AD70" i="9" s="1"/>
  <c r="AC437" i="1"/>
  <c r="AC70" i="9" s="1"/>
  <c r="AB437" i="1"/>
  <c r="AB70" i="9" s="1"/>
  <c r="AA437" i="1"/>
  <c r="AA70" i="9" s="1"/>
  <c r="Z437" i="1"/>
  <c r="Z70" i="9" s="1"/>
  <c r="Y437" i="1"/>
  <c r="Y70" i="9" s="1"/>
  <c r="X437" i="1"/>
  <c r="X70" i="9" s="1"/>
  <c r="W437" i="1"/>
  <c r="W70" i="9" s="1"/>
  <c r="V437" i="1"/>
  <c r="V70" i="9" s="1"/>
  <c r="U437" i="1"/>
  <c r="U70" i="9" s="1"/>
  <c r="T437" i="1"/>
  <c r="T70" i="9" s="1"/>
  <c r="S437" i="1"/>
  <c r="S70" i="9" s="1"/>
  <c r="R437" i="1"/>
  <c r="R70" i="9" s="1"/>
  <c r="Q437" i="1"/>
  <c r="Q70" i="9" s="1"/>
  <c r="P437" i="1"/>
  <c r="P70" i="9" s="1"/>
  <c r="O437" i="1"/>
  <c r="O70" i="9" s="1"/>
  <c r="N437" i="1"/>
  <c r="N70" i="9" s="1"/>
  <c r="M437" i="1"/>
  <c r="M70" i="9" s="1"/>
  <c r="L437" i="1"/>
  <c r="L70" i="9" s="1"/>
  <c r="K437" i="1"/>
  <c r="K70" i="9" s="1"/>
  <c r="J437" i="1"/>
  <c r="J70" i="9" s="1"/>
  <c r="I437" i="1"/>
  <c r="I70" i="9" s="1"/>
  <c r="H437" i="1"/>
  <c r="H70" i="9" s="1"/>
  <c r="G437" i="1"/>
  <c r="G70" i="9" s="1"/>
  <c r="F437" i="1"/>
  <c r="F70" i="9" s="1"/>
  <c r="E437" i="1"/>
  <c r="E70" i="9" s="1"/>
  <c r="D437" i="1"/>
  <c r="D70" i="9" s="1"/>
  <c r="C437" i="1"/>
  <c r="C70" i="9" s="1"/>
  <c r="BD436" i="1"/>
  <c r="BD73" i="9" s="1"/>
  <c r="AY436" i="1"/>
  <c r="AY73" i="9" s="1"/>
  <c r="AW436" i="1"/>
  <c r="AW73" i="9" s="1"/>
  <c r="AV436" i="1"/>
  <c r="AV73" i="9" s="1"/>
  <c r="AU436" i="1"/>
  <c r="AU73" i="9" s="1"/>
  <c r="AT436" i="1"/>
  <c r="AT73" i="9" s="1"/>
  <c r="AS436" i="1"/>
  <c r="AS73" i="9" s="1"/>
  <c r="AR436" i="1"/>
  <c r="AR73" i="9" s="1"/>
  <c r="AQ436" i="1"/>
  <c r="AQ73" i="9" s="1"/>
  <c r="AP436" i="1"/>
  <c r="AP73" i="9" s="1"/>
  <c r="AO436" i="1"/>
  <c r="AO73" i="9" s="1"/>
  <c r="AN436" i="1"/>
  <c r="AN73" i="9" s="1"/>
  <c r="AM436" i="1"/>
  <c r="AM73" i="9" s="1"/>
  <c r="AL436" i="1"/>
  <c r="AL73" i="9" s="1"/>
  <c r="AK436" i="1"/>
  <c r="AK73" i="9" s="1"/>
  <c r="AJ436" i="1"/>
  <c r="AJ73" i="9" s="1"/>
  <c r="AI436" i="1"/>
  <c r="AI73" i="9" s="1"/>
  <c r="AH436" i="1"/>
  <c r="AH73" i="9" s="1"/>
  <c r="AG436" i="1"/>
  <c r="AG73" i="9" s="1"/>
  <c r="AF436" i="1"/>
  <c r="AF73" i="9" s="1"/>
  <c r="AE436" i="1"/>
  <c r="AE73" i="9" s="1"/>
  <c r="AD436" i="1"/>
  <c r="AD73" i="9" s="1"/>
  <c r="AC436" i="1"/>
  <c r="AC73" i="9" s="1"/>
  <c r="AB436" i="1"/>
  <c r="AB73" i="9" s="1"/>
  <c r="AA436" i="1"/>
  <c r="AA73" i="9" s="1"/>
  <c r="Z436" i="1"/>
  <c r="Z73" i="9" s="1"/>
  <c r="Y436" i="1"/>
  <c r="Y73" i="9" s="1"/>
  <c r="X436" i="1"/>
  <c r="X73" i="9" s="1"/>
  <c r="W436" i="1"/>
  <c r="W73" i="9" s="1"/>
  <c r="V436" i="1"/>
  <c r="V73" i="9" s="1"/>
  <c r="U436" i="1"/>
  <c r="U73" i="9" s="1"/>
  <c r="T436" i="1"/>
  <c r="T73" i="9" s="1"/>
  <c r="S436" i="1"/>
  <c r="S73" i="9" s="1"/>
  <c r="R436" i="1"/>
  <c r="R73" i="9" s="1"/>
  <c r="Q436" i="1"/>
  <c r="Q73" i="9" s="1"/>
  <c r="P436" i="1"/>
  <c r="P73" i="9" s="1"/>
  <c r="O436" i="1"/>
  <c r="O73" i="9" s="1"/>
  <c r="N436" i="1"/>
  <c r="N73" i="9" s="1"/>
  <c r="M436" i="1"/>
  <c r="M73" i="9" s="1"/>
  <c r="L436" i="1"/>
  <c r="L73" i="9" s="1"/>
  <c r="K436" i="1"/>
  <c r="K73" i="9" s="1"/>
  <c r="J436" i="1"/>
  <c r="J73" i="9" s="1"/>
  <c r="I436" i="1"/>
  <c r="I73" i="9" s="1"/>
  <c r="H436" i="1"/>
  <c r="H73" i="9" s="1"/>
  <c r="G436" i="1"/>
  <c r="G73" i="9" s="1"/>
  <c r="F436" i="1"/>
  <c r="F73" i="9" s="1"/>
  <c r="E436" i="1"/>
  <c r="E73" i="9" s="1"/>
  <c r="D436" i="1"/>
  <c r="D73" i="9" s="1"/>
  <c r="C436" i="1"/>
  <c r="C73" i="9" s="1"/>
  <c r="BD435" i="1"/>
  <c r="BD72" i="9" s="1"/>
  <c r="AY435" i="1"/>
  <c r="AW435" i="1"/>
  <c r="AV435" i="1"/>
  <c r="AU435" i="1"/>
  <c r="AT435" i="1"/>
  <c r="AS435" i="1"/>
  <c r="AR435" i="1"/>
  <c r="AQ435" i="1"/>
  <c r="AP435" i="1"/>
  <c r="AO435" i="1"/>
  <c r="AN435" i="1"/>
  <c r="AM435" i="1"/>
  <c r="AL435" i="1"/>
  <c r="AK435" i="1"/>
  <c r="AJ435" i="1"/>
  <c r="AI435" i="1"/>
  <c r="AH435" i="1"/>
  <c r="AG435" i="1"/>
  <c r="AF435" i="1"/>
  <c r="AE435" i="1"/>
  <c r="AD435" i="1"/>
  <c r="AC435" i="1"/>
  <c r="AB435" i="1"/>
  <c r="AA435" i="1"/>
  <c r="Z435" i="1"/>
  <c r="Y435" i="1"/>
  <c r="X435" i="1"/>
  <c r="W435" i="1"/>
  <c r="V435" i="1"/>
  <c r="U435" i="1"/>
  <c r="T435" i="1"/>
  <c r="S435" i="1"/>
  <c r="R435" i="1"/>
  <c r="Q435" i="1"/>
  <c r="P435" i="1"/>
  <c r="O435" i="1"/>
  <c r="N435" i="1"/>
  <c r="M435" i="1"/>
  <c r="L435" i="1"/>
  <c r="K435" i="1"/>
  <c r="J435" i="1"/>
  <c r="I435" i="1"/>
  <c r="H435" i="1"/>
  <c r="G435" i="1"/>
  <c r="F435" i="1"/>
  <c r="E435" i="1"/>
  <c r="D435" i="1"/>
  <c r="C435" i="1"/>
  <c r="A434" i="1"/>
  <c r="A762" i="1" s="1"/>
  <c r="AW433" i="1"/>
  <c r="AV433" i="1"/>
  <c r="AU433" i="1"/>
  <c r="AT433" i="1"/>
  <c r="AS433" i="1"/>
  <c r="AR433" i="1"/>
  <c r="AQ433" i="1"/>
  <c r="AP433" i="1"/>
  <c r="AO433" i="1"/>
  <c r="AN433" i="1"/>
  <c r="AM433" i="1"/>
  <c r="AL433" i="1"/>
  <c r="AK433" i="1"/>
  <c r="AJ433" i="1"/>
  <c r="AI433" i="1"/>
  <c r="AH433" i="1"/>
  <c r="AG433" i="1"/>
  <c r="AF433" i="1"/>
  <c r="AE433" i="1"/>
  <c r="AD433" i="1"/>
  <c r="AC433" i="1"/>
  <c r="AB433" i="1"/>
  <c r="AA433" i="1"/>
  <c r="Z433" i="1"/>
  <c r="Y433" i="1"/>
  <c r="X433" i="1"/>
  <c r="W433" i="1"/>
  <c r="V433" i="1"/>
  <c r="U433" i="1"/>
  <c r="T433" i="1"/>
  <c r="S433" i="1"/>
  <c r="R433" i="1"/>
  <c r="Q433" i="1"/>
  <c r="P433" i="1"/>
  <c r="O433" i="1"/>
  <c r="N433" i="1"/>
  <c r="M433" i="1"/>
  <c r="L433" i="1"/>
  <c r="K433" i="1"/>
  <c r="J433" i="1"/>
  <c r="I433" i="1"/>
  <c r="H433" i="1"/>
  <c r="G433" i="1"/>
  <c r="F433" i="1"/>
  <c r="E433" i="1"/>
  <c r="D433" i="1"/>
  <c r="C433" i="1"/>
  <c r="A432" i="1"/>
  <c r="A761" i="1" s="1"/>
  <c r="AW430" i="1"/>
  <c r="AO430" i="1"/>
  <c r="AK430" i="1"/>
  <c r="AG430" i="1"/>
  <c r="AC430" i="1"/>
  <c r="U430" i="1"/>
  <c r="Q430" i="1"/>
  <c r="O430" i="1"/>
  <c r="M430" i="1"/>
  <c r="I430" i="1"/>
  <c r="E430" i="1"/>
  <c r="AW427" i="1"/>
  <c r="AW5" i="9" s="1"/>
  <c r="AV427" i="1"/>
  <c r="AV5" i="9" s="1"/>
  <c r="AU427" i="1"/>
  <c r="AU5" i="9" s="1"/>
  <c r="AT427" i="1"/>
  <c r="AT5" i="9" s="1"/>
  <c r="AS427" i="1"/>
  <c r="AS5" i="9" s="1"/>
  <c r="AR427" i="1"/>
  <c r="AR5" i="9" s="1"/>
  <c r="AQ427" i="1"/>
  <c r="AQ5" i="9" s="1"/>
  <c r="AP427" i="1"/>
  <c r="AP5" i="9" s="1"/>
  <c r="AO427" i="1"/>
  <c r="AO5" i="9" s="1"/>
  <c r="AN427" i="1"/>
  <c r="AN5" i="9" s="1"/>
  <c r="AM427" i="1"/>
  <c r="AM5" i="9" s="1"/>
  <c r="AL427" i="1"/>
  <c r="AL5" i="9" s="1"/>
  <c r="AK427" i="1"/>
  <c r="AK5" i="9" s="1"/>
  <c r="AJ427" i="1"/>
  <c r="AJ5" i="9" s="1"/>
  <c r="AI427" i="1"/>
  <c r="AI5" i="9" s="1"/>
  <c r="AH427" i="1"/>
  <c r="AH5" i="9" s="1"/>
  <c r="AG427" i="1"/>
  <c r="AG5" i="9" s="1"/>
  <c r="AF427" i="1"/>
  <c r="AF5" i="9" s="1"/>
  <c r="AE427" i="1"/>
  <c r="AE5" i="9" s="1"/>
  <c r="AD427" i="1"/>
  <c r="AD5" i="9" s="1"/>
  <c r="AC427" i="1"/>
  <c r="AC5" i="9" s="1"/>
  <c r="AB427" i="1"/>
  <c r="AB5" i="9" s="1"/>
  <c r="AA427" i="1"/>
  <c r="AA5" i="9" s="1"/>
  <c r="Z427" i="1"/>
  <c r="Z5" i="9" s="1"/>
  <c r="Y427" i="1"/>
  <c r="Y5" i="9" s="1"/>
  <c r="X427" i="1"/>
  <c r="X5" i="9" s="1"/>
  <c r="W427" i="1"/>
  <c r="W5" i="9" s="1"/>
  <c r="V427" i="1"/>
  <c r="V5" i="9" s="1"/>
  <c r="U427" i="1"/>
  <c r="U5" i="9" s="1"/>
  <c r="T427" i="1"/>
  <c r="T5" i="9" s="1"/>
  <c r="S427" i="1"/>
  <c r="S5" i="9" s="1"/>
  <c r="R427" i="1"/>
  <c r="R5" i="9" s="1"/>
  <c r="Q427" i="1"/>
  <c r="Q5" i="9" s="1"/>
  <c r="P427" i="1"/>
  <c r="P5" i="9" s="1"/>
  <c r="O427" i="1"/>
  <c r="O5" i="9" s="1"/>
  <c r="N427" i="1"/>
  <c r="N5" i="9" s="1"/>
  <c r="M427" i="1"/>
  <c r="M5" i="9" s="1"/>
  <c r="L427" i="1"/>
  <c r="L5" i="9" s="1"/>
  <c r="K427" i="1"/>
  <c r="K5" i="9" s="1"/>
  <c r="J427" i="1"/>
  <c r="J5" i="9" s="1"/>
  <c r="I427" i="1"/>
  <c r="I5" i="9" s="1"/>
  <c r="H427" i="1"/>
  <c r="H5" i="9" s="1"/>
  <c r="G427" i="1"/>
  <c r="G5" i="9" s="1"/>
  <c r="F427" i="1"/>
  <c r="F5" i="9" s="1"/>
  <c r="E427" i="1"/>
  <c r="E5" i="9" s="1"/>
  <c r="D427" i="1"/>
  <c r="D5" i="9" s="1"/>
  <c r="C427" i="1"/>
  <c r="C5" i="9" s="1"/>
  <c r="A423" i="1"/>
  <c r="A760" i="1" s="1"/>
  <c r="BD414" i="1"/>
  <c r="AY414" i="1"/>
  <c r="BD413" i="1"/>
  <c r="AW413" i="1"/>
  <c r="AV413" i="1"/>
  <c r="AU413" i="1"/>
  <c r="AY413" i="1" s="1"/>
  <c r="AT413" i="1"/>
  <c r="AS413" i="1"/>
  <c r="AR413" i="1"/>
  <c r="AQ413" i="1"/>
  <c r="AP413" i="1"/>
  <c r="AO413" i="1"/>
  <c r="AN413" i="1"/>
  <c r="AM413" i="1"/>
  <c r="AL413" i="1"/>
  <c r="AK413" i="1"/>
  <c r="AJ413" i="1"/>
  <c r="AI413" i="1"/>
  <c r="AH413" i="1"/>
  <c r="AG413" i="1"/>
  <c r="AF413" i="1"/>
  <c r="AE413" i="1"/>
  <c r="AD413" i="1"/>
  <c r="AC413" i="1"/>
  <c r="AB413" i="1"/>
  <c r="AA413" i="1"/>
  <c r="Z413" i="1"/>
  <c r="Y413" i="1"/>
  <c r="X413" i="1"/>
  <c r="W413" i="1"/>
  <c r="V413" i="1"/>
  <c r="T413" i="1"/>
  <c r="S413" i="1"/>
  <c r="R413" i="1"/>
  <c r="Q413" i="1"/>
  <c r="O413" i="1"/>
  <c r="N413" i="1"/>
  <c r="M413" i="1"/>
  <c r="L413" i="1"/>
  <c r="J413" i="1"/>
  <c r="I413" i="1"/>
  <c r="H413" i="1"/>
  <c r="G413" i="1"/>
  <c r="F413" i="1"/>
  <c r="E413" i="1"/>
  <c r="D413" i="1"/>
  <c r="C413" i="1"/>
  <c r="BD411" i="1"/>
  <c r="BD721" i="1" s="1"/>
  <c r="AW411" i="1"/>
  <c r="AV411" i="1"/>
  <c r="AU411" i="1"/>
  <c r="AY411" i="1" s="1"/>
  <c r="AY721" i="1" s="1"/>
  <c r="AT411" i="1"/>
  <c r="AS411" i="1"/>
  <c r="AR411" i="1"/>
  <c r="AQ411" i="1"/>
  <c r="AP411" i="1"/>
  <c r="AO411" i="1"/>
  <c r="AN411" i="1"/>
  <c r="AM411" i="1"/>
  <c r="AL411" i="1"/>
  <c r="AK411" i="1"/>
  <c r="AJ411" i="1"/>
  <c r="AI411" i="1"/>
  <c r="AH411" i="1"/>
  <c r="AG411" i="1"/>
  <c r="AF411" i="1"/>
  <c r="AE411" i="1"/>
  <c r="AD411" i="1"/>
  <c r="AC411" i="1"/>
  <c r="AB411" i="1"/>
  <c r="AA411" i="1"/>
  <c r="Z411" i="1"/>
  <c r="Y411" i="1"/>
  <c r="X411" i="1"/>
  <c r="W411" i="1"/>
  <c r="V411" i="1"/>
  <c r="U411" i="1"/>
  <c r="T411" i="1"/>
  <c r="S411" i="1"/>
  <c r="R411" i="1"/>
  <c r="Q411" i="1"/>
  <c r="P411" i="1"/>
  <c r="O411" i="1"/>
  <c r="N411" i="1"/>
  <c r="M411" i="1"/>
  <c r="L411" i="1"/>
  <c r="K411" i="1"/>
  <c r="J411" i="1"/>
  <c r="I411" i="1"/>
  <c r="H411" i="1"/>
  <c r="G411" i="1"/>
  <c r="F411" i="1"/>
  <c r="E411" i="1"/>
  <c r="D411" i="1"/>
  <c r="C411" i="1"/>
  <c r="BD409" i="1"/>
  <c r="BD46" i="9" s="1"/>
  <c r="AY409" i="1"/>
  <c r="AY46" i="9" s="1"/>
  <c r="BD408" i="1"/>
  <c r="BD45" i="9" s="1"/>
  <c r="AY408" i="1"/>
  <c r="AY45" i="9" s="1"/>
  <c r="BD407" i="1"/>
  <c r="BD44" i="9" s="1"/>
  <c r="AY407" i="1"/>
  <c r="AY44" i="9" s="1"/>
  <c r="AW405" i="1"/>
  <c r="AV405" i="1"/>
  <c r="AU405" i="1"/>
  <c r="AU404" i="1" s="1"/>
  <c r="AT405" i="1"/>
  <c r="AS405" i="1"/>
  <c r="AR405" i="1"/>
  <c r="AQ405" i="1"/>
  <c r="AQ404" i="1" s="1"/>
  <c r="AP405" i="1"/>
  <c r="AO405" i="1"/>
  <c r="AN405" i="1"/>
  <c r="AM405" i="1"/>
  <c r="AM404" i="1" s="1"/>
  <c r="AL405" i="1"/>
  <c r="AK405" i="1"/>
  <c r="AJ405" i="1"/>
  <c r="AI405" i="1"/>
  <c r="AI404" i="1" s="1"/>
  <c r="AH405" i="1"/>
  <c r="AG405" i="1"/>
  <c r="AF405" i="1"/>
  <c r="AE405" i="1"/>
  <c r="AE404" i="1" s="1"/>
  <c r="AD405" i="1"/>
  <c r="AC405" i="1"/>
  <c r="AB405" i="1"/>
  <c r="AA405" i="1"/>
  <c r="AA404" i="1" s="1"/>
  <c r="Z405" i="1"/>
  <c r="Y405" i="1"/>
  <c r="X405" i="1"/>
  <c r="W405" i="1"/>
  <c r="W404" i="1" s="1"/>
  <c r="V405" i="1"/>
  <c r="U405" i="1"/>
  <c r="T405" i="1"/>
  <c r="S405" i="1"/>
  <c r="S404" i="1" s="1"/>
  <c r="R405" i="1"/>
  <c r="Q405" i="1"/>
  <c r="P405" i="1"/>
  <c r="O405" i="1"/>
  <c r="N405" i="1"/>
  <c r="M405" i="1"/>
  <c r="L405" i="1"/>
  <c r="K405" i="1"/>
  <c r="J405" i="1"/>
  <c r="I405" i="1"/>
  <c r="H405" i="1"/>
  <c r="G405" i="1"/>
  <c r="F405" i="1"/>
  <c r="E405" i="1"/>
  <c r="D405" i="1"/>
  <c r="C405" i="1"/>
  <c r="AW404" i="1"/>
  <c r="AW43" i="9" s="1"/>
  <c r="AV404" i="1"/>
  <c r="AV43" i="9" s="1"/>
  <c r="AR404" i="1"/>
  <c r="AR43" i="9" s="1"/>
  <c r="AO404" i="1"/>
  <c r="AO43" i="9" s="1"/>
  <c r="AK404" i="1"/>
  <c r="AK43" i="9" s="1"/>
  <c r="AJ404" i="1"/>
  <c r="AJ43" i="9" s="1"/>
  <c r="AG404" i="1"/>
  <c r="AG43" i="9" s="1"/>
  <c r="AF404" i="1"/>
  <c r="AF43" i="9" s="1"/>
  <c r="AC404" i="1"/>
  <c r="AC43" i="9" s="1"/>
  <c r="AB404" i="1"/>
  <c r="AB43" i="9" s="1"/>
  <c r="X404" i="1"/>
  <c r="X43" i="9" s="1"/>
  <c r="U404" i="1"/>
  <c r="U43" i="9" s="1"/>
  <c r="Q404" i="1"/>
  <c r="Q43" i="9" s="1"/>
  <c r="P404" i="1"/>
  <c r="P43" i="9" s="1"/>
  <c r="M404" i="1"/>
  <c r="M43" i="9" s="1"/>
  <c r="L404" i="1"/>
  <c r="L43" i="9" s="1"/>
  <c r="K404" i="1"/>
  <c r="K43" i="9" s="1"/>
  <c r="I404" i="1"/>
  <c r="I43" i="9" s="1"/>
  <c r="H404" i="1"/>
  <c r="H43" i="9" s="1"/>
  <c r="G404" i="1"/>
  <c r="G43" i="9" s="1"/>
  <c r="E404" i="1"/>
  <c r="E43" i="9" s="1"/>
  <c r="D404" i="1"/>
  <c r="D43" i="9" s="1"/>
  <c r="C404" i="1"/>
  <c r="C43" i="9" s="1"/>
  <c r="BD401" i="1"/>
  <c r="AW401" i="1"/>
  <c r="AV401" i="1"/>
  <c r="AU401" i="1"/>
  <c r="AY401" i="1" s="1"/>
  <c r="AT401" i="1"/>
  <c r="AS401" i="1"/>
  <c r="AR401" i="1"/>
  <c r="AQ401" i="1"/>
  <c r="AP401" i="1"/>
  <c r="AO401" i="1"/>
  <c r="AN401" i="1"/>
  <c r="AM401" i="1"/>
  <c r="AL401" i="1"/>
  <c r="AK401" i="1"/>
  <c r="AJ401" i="1"/>
  <c r="AI401" i="1"/>
  <c r="AH401" i="1"/>
  <c r="AG401" i="1"/>
  <c r="AF401" i="1"/>
  <c r="AE401" i="1"/>
  <c r="AC401" i="1"/>
  <c r="AB401" i="1"/>
  <c r="AA401" i="1"/>
  <c r="Z401" i="1"/>
  <c r="X401" i="1"/>
  <c r="W401" i="1"/>
  <c r="V401" i="1"/>
  <c r="U401" i="1"/>
  <c r="S401" i="1"/>
  <c r="R401" i="1"/>
  <c r="Q401" i="1"/>
  <c r="P401" i="1"/>
  <c r="N401" i="1"/>
  <c r="M401" i="1"/>
  <c r="L401" i="1"/>
  <c r="K401" i="1"/>
  <c r="I401" i="1"/>
  <c r="H401" i="1"/>
  <c r="G401" i="1"/>
  <c r="F401" i="1"/>
  <c r="E401" i="1"/>
  <c r="D401" i="1"/>
  <c r="C401" i="1"/>
  <c r="BD400" i="1"/>
  <c r="BD41" i="9" s="1"/>
  <c r="AY400" i="1"/>
  <c r="AW400" i="1"/>
  <c r="AV400" i="1"/>
  <c r="AU400" i="1"/>
  <c r="AU41" i="9" s="1"/>
  <c r="AT400" i="1"/>
  <c r="AT41" i="9" s="1"/>
  <c r="AR400" i="1"/>
  <c r="AQ400" i="1"/>
  <c r="AQ41" i="9" s="1"/>
  <c r="AP400" i="1"/>
  <c r="AP41" i="9" s="1"/>
  <c r="AO400" i="1"/>
  <c r="AM400" i="1"/>
  <c r="AM41" i="9" s="1"/>
  <c r="AL400" i="1"/>
  <c r="AL41" i="9" s="1"/>
  <c r="AK400" i="1"/>
  <c r="AJ400" i="1"/>
  <c r="AI400" i="1"/>
  <c r="AI41" i="9" s="1"/>
  <c r="AH400" i="1"/>
  <c r="AH41" i="9" s="1"/>
  <c r="AG400" i="1"/>
  <c r="AF400" i="1"/>
  <c r="AE400" i="1"/>
  <c r="AE41" i="9" s="1"/>
  <c r="AC400" i="1"/>
  <c r="AB400" i="1"/>
  <c r="AB41" i="9" s="1"/>
  <c r="AA400" i="1"/>
  <c r="AA41" i="9" s="1"/>
  <c r="Z400" i="1"/>
  <c r="Z41" i="9" s="1"/>
  <c r="X400" i="1"/>
  <c r="X41" i="9" s="1"/>
  <c r="W400" i="1"/>
  <c r="W41" i="9" s="1"/>
  <c r="V400" i="1"/>
  <c r="V41" i="9" s="1"/>
  <c r="U400" i="1"/>
  <c r="S400" i="1"/>
  <c r="S41" i="9" s="1"/>
  <c r="R400" i="1"/>
  <c r="R41" i="9" s="1"/>
  <c r="Q400" i="1"/>
  <c r="P400" i="1"/>
  <c r="P41" i="9" s="1"/>
  <c r="N400" i="1"/>
  <c r="N41" i="9" s="1"/>
  <c r="M400" i="1"/>
  <c r="L400" i="1"/>
  <c r="L41" i="9" s="1"/>
  <c r="K400" i="1"/>
  <c r="K41" i="9" s="1"/>
  <c r="I400" i="1"/>
  <c r="I41" i="9" s="1"/>
  <c r="H400" i="1"/>
  <c r="H41" i="9" s="1"/>
  <c r="G400" i="1"/>
  <c r="G41" i="9" s="1"/>
  <c r="F400" i="1"/>
  <c r="F41" i="9" s="1"/>
  <c r="E400" i="1"/>
  <c r="E41" i="9" s="1"/>
  <c r="D400" i="1"/>
  <c r="D41" i="9" s="1"/>
  <c r="C400" i="1"/>
  <c r="C41" i="9" s="1"/>
  <c r="AW398" i="1"/>
  <c r="AV398" i="1"/>
  <c r="AU398" i="1"/>
  <c r="AT398" i="1"/>
  <c r="AR398" i="1"/>
  <c r="AQ398" i="1"/>
  <c r="AP398" i="1"/>
  <c r="AO398" i="1"/>
  <c r="AM398" i="1"/>
  <c r="AL398" i="1"/>
  <c r="AK398" i="1"/>
  <c r="AJ398" i="1"/>
  <c r="AI398" i="1"/>
  <c r="AH398" i="1"/>
  <c r="AG398" i="1"/>
  <c r="AF398" i="1"/>
  <c r="AE398" i="1"/>
  <c r="AC398" i="1"/>
  <c r="AB398" i="1"/>
  <c r="AA398" i="1"/>
  <c r="Z398" i="1"/>
  <c r="X398" i="1"/>
  <c r="W398" i="1"/>
  <c r="V398" i="1"/>
  <c r="U398" i="1"/>
  <c r="S398" i="1"/>
  <c r="R398" i="1"/>
  <c r="Q398" i="1"/>
  <c r="P398" i="1"/>
  <c r="N398" i="1"/>
  <c r="M398" i="1"/>
  <c r="L398" i="1"/>
  <c r="K398" i="1"/>
  <c r="I398" i="1"/>
  <c r="H398" i="1"/>
  <c r="G398" i="1"/>
  <c r="F398" i="1"/>
  <c r="E398" i="1"/>
  <c r="D398" i="1"/>
  <c r="C398" i="1"/>
  <c r="AW393" i="1"/>
  <c r="AV393" i="1"/>
  <c r="AU393" i="1"/>
  <c r="AT393" i="1"/>
  <c r="AS393" i="1"/>
  <c r="AR393" i="1"/>
  <c r="AQ393" i="1"/>
  <c r="AP393" i="1"/>
  <c r="AO393" i="1"/>
  <c r="AN393" i="1"/>
  <c r="AM393" i="1"/>
  <c r="AL393" i="1"/>
  <c r="AK393" i="1"/>
  <c r="AJ393" i="1"/>
  <c r="AI393" i="1"/>
  <c r="AH393" i="1"/>
  <c r="AG393" i="1"/>
  <c r="AF393" i="1"/>
  <c r="AE393" i="1"/>
  <c r="AD393" i="1"/>
  <c r="AC393" i="1"/>
  <c r="AB393" i="1"/>
  <c r="AA393" i="1"/>
  <c r="Z393" i="1"/>
  <c r="Y393" i="1"/>
  <c r="X393" i="1"/>
  <c r="W393" i="1"/>
  <c r="V393" i="1"/>
  <c r="U393" i="1"/>
  <c r="T393" i="1"/>
  <c r="S393" i="1"/>
  <c r="R393" i="1"/>
  <c r="Q393" i="1"/>
  <c r="P393" i="1"/>
  <c r="O393" i="1"/>
  <c r="N393" i="1"/>
  <c r="M393" i="1"/>
  <c r="L393" i="1"/>
  <c r="K393" i="1"/>
  <c r="J393" i="1"/>
  <c r="I393" i="1"/>
  <c r="H393" i="1"/>
  <c r="G393" i="1"/>
  <c r="F393" i="1"/>
  <c r="E393" i="1"/>
  <c r="D393" i="1"/>
  <c r="C393" i="1"/>
  <c r="AW392" i="1"/>
  <c r="AV392" i="1"/>
  <c r="AU392" i="1"/>
  <c r="AT392" i="1"/>
  <c r="AS392" i="1"/>
  <c r="AR392" i="1"/>
  <c r="AQ392" i="1"/>
  <c r="AP392" i="1"/>
  <c r="AO392" i="1"/>
  <c r="AN392" i="1"/>
  <c r="AM392" i="1"/>
  <c r="AL392" i="1"/>
  <c r="AK392" i="1"/>
  <c r="AJ392" i="1"/>
  <c r="AI392" i="1"/>
  <c r="AH392" i="1"/>
  <c r="AG392" i="1"/>
  <c r="AF392" i="1"/>
  <c r="AE392" i="1"/>
  <c r="AD392" i="1"/>
  <c r="AC392" i="1"/>
  <c r="AB392" i="1"/>
  <c r="AA392" i="1"/>
  <c r="Z392" i="1"/>
  <c r="Y392" i="1"/>
  <c r="X392" i="1"/>
  <c r="W392" i="1"/>
  <c r="V392" i="1"/>
  <c r="U392" i="1"/>
  <c r="T392" i="1"/>
  <c r="S392" i="1"/>
  <c r="R392" i="1"/>
  <c r="Q392" i="1"/>
  <c r="P392" i="1"/>
  <c r="O392" i="1"/>
  <c r="N392" i="1"/>
  <c r="M392" i="1"/>
  <c r="L392" i="1"/>
  <c r="K392" i="1"/>
  <c r="J392" i="1"/>
  <c r="I392" i="1"/>
  <c r="H392" i="1"/>
  <c r="G392" i="1"/>
  <c r="F392" i="1"/>
  <c r="E392" i="1"/>
  <c r="D392" i="1"/>
  <c r="C392" i="1"/>
  <c r="C644" i="1" s="1"/>
  <c r="AW387" i="1"/>
  <c r="AW37" i="9" s="1"/>
  <c r="AV387" i="1"/>
  <c r="AV37" i="9" s="1"/>
  <c r="AU387" i="1"/>
  <c r="AU37" i="9" s="1"/>
  <c r="AT387" i="1"/>
  <c r="AT37" i="9" s="1"/>
  <c r="AR387" i="1"/>
  <c r="AR37" i="9" s="1"/>
  <c r="AQ387" i="1"/>
  <c r="AQ37" i="9" s="1"/>
  <c r="AP387" i="1"/>
  <c r="AP37" i="9" s="1"/>
  <c r="AO387" i="1"/>
  <c r="AO37" i="9" s="1"/>
  <c r="AM387" i="1"/>
  <c r="AM37" i="9" s="1"/>
  <c r="AL387" i="1"/>
  <c r="AL37" i="9" s="1"/>
  <c r="AK387" i="1"/>
  <c r="AK37" i="9" s="1"/>
  <c r="AJ387" i="1"/>
  <c r="AJ37" i="9" s="1"/>
  <c r="AH387" i="1"/>
  <c r="AH37" i="9" s="1"/>
  <c r="AG387" i="1"/>
  <c r="AG37" i="9" s="1"/>
  <c r="AF387" i="1"/>
  <c r="AF37" i="9" s="1"/>
  <c r="AE387" i="1"/>
  <c r="AE37" i="9" s="1"/>
  <c r="AD387" i="1"/>
  <c r="AD37" i="9" s="1"/>
  <c r="AC387" i="1"/>
  <c r="AC37" i="9" s="1"/>
  <c r="AB387" i="1"/>
  <c r="AB37" i="9" s="1"/>
  <c r="AA387" i="1"/>
  <c r="AA37" i="9" s="1"/>
  <c r="Z387" i="1"/>
  <c r="Z37" i="9" s="1"/>
  <c r="Y387" i="1"/>
  <c r="Y37" i="9" s="1"/>
  <c r="X387" i="1"/>
  <c r="X37" i="9" s="1"/>
  <c r="W387" i="1"/>
  <c r="W37" i="9" s="1"/>
  <c r="V387" i="1"/>
  <c r="V37" i="9" s="1"/>
  <c r="U387" i="1"/>
  <c r="U37" i="9" s="1"/>
  <c r="S387" i="1"/>
  <c r="S37" i="9" s="1"/>
  <c r="R387" i="1"/>
  <c r="R37" i="9" s="1"/>
  <c r="Q387" i="1"/>
  <c r="Q37" i="9" s="1"/>
  <c r="P387" i="1"/>
  <c r="P37" i="9" s="1"/>
  <c r="N387" i="1"/>
  <c r="N37" i="9" s="1"/>
  <c r="M387" i="1"/>
  <c r="M37" i="9" s="1"/>
  <c r="L387" i="1"/>
  <c r="L37" i="9" s="1"/>
  <c r="K387" i="1"/>
  <c r="K37" i="9" s="1"/>
  <c r="I387" i="1"/>
  <c r="I37" i="9" s="1"/>
  <c r="H387" i="1"/>
  <c r="H37" i="9" s="1"/>
  <c r="G387" i="1"/>
  <c r="G37" i="9" s="1"/>
  <c r="F387" i="1"/>
  <c r="F37" i="9" s="1"/>
  <c r="E387" i="1"/>
  <c r="E37" i="9" s="1"/>
  <c r="D387" i="1"/>
  <c r="D37" i="9" s="1"/>
  <c r="C387" i="1"/>
  <c r="C37" i="9" s="1"/>
  <c r="AW386" i="1"/>
  <c r="AW36" i="9" s="1"/>
  <c r="AV386" i="1"/>
  <c r="AV36" i="9" s="1"/>
  <c r="AU386" i="1"/>
  <c r="AU36" i="9" s="1"/>
  <c r="AT386" i="1"/>
  <c r="AT36" i="9" s="1"/>
  <c r="AR386" i="1"/>
  <c r="AR36" i="9" s="1"/>
  <c r="AQ386" i="1"/>
  <c r="AQ36" i="9" s="1"/>
  <c r="AP386" i="1"/>
  <c r="AP36" i="9" s="1"/>
  <c r="AO386" i="1"/>
  <c r="AO36" i="9" s="1"/>
  <c r="AM386" i="1"/>
  <c r="AM36" i="9" s="1"/>
  <c r="AL386" i="1"/>
  <c r="AL36" i="9" s="1"/>
  <c r="AK386" i="1"/>
  <c r="AK36" i="9" s="1"/>
  <c r="AJ386" i="1"/>
  <c r="AJ36" i="9" s="1"/>
  <c r="AH386" i="1"/>
  <c r="AH36" i="9" s="1"/>
  <c r="AG386" i="1"/>
  <c r="AG36" i="9" s="1"/>
  <c r="AF386" i="1"/>
  <c r="AF36" i="9" s="1"/>
  <c r="AE386" i="1"/>
  <c r="AE36" i="9" s="1"/>
  <c r="AD386" i="1"/>
  <c r="AD36" i="9" s="1"/>
  <c r="AC386" i="1"/>
  <c r="AC36" i="9" s="1"/>
  <c r="AB386" i="1"/>
  <c r="AB36" i="9" s="1"/>
  <c r="AA386" i="1"/>
  <c r="AA36" i="9" s="1"/>
  <c r="Z386" i="1"/>
  <c r="Z36" i="9" s="1"/>
  <c r="Y386" i="1"/>
  <c r="Y36" i="9" s="1"/>
  <c r="X386" i="1"/>
  <c r="X36" i="9" s="1"/>
  <c r="W386" i="1"/>
  <c r="W36" i="9" s="1"/>
  <c r="V386" i="1"/>
  <c r="V36" i="9" s="1"/>
  <c r="U386" i="1"/>
  <c r="U36" i="9" s="1"/>
  <c r="S386" i="1"/>
  <c r="S36" i="9" s="1"/>
  <c r="R386" i="1"/>
  <c r="R36" i="9" s="1"/>
  <c r="Q386" i="1"/>
  <c r="Q36" i="9" s="1"/>
  <c r="P386" i="1"/>
  <c r="P36" i="9" s="1"/>
  <c r="N386" i="1"/>
  <c r="N36" i="9" s="1"/>
  <c r="M386" i="1"/>
  <c r="M36" i="9" s="1"/>
  <c r="L386" i="1"/>
  <c r="L36" i="9" s="1"/>
  <c r="K386" i="1"/>
  <c r="K36" i="9" s="1"/>
  <c r="I386" i="1"/>
  <c r="I36" i="9" s="1"/>
  <c r="H386" i="1"/>
  <c r="H36" i="9" s="1"/>
  <c r="G386" i="1"/>
  <c r="G36" i="9" s="1"/>
  <c r="F386" i="1"/>
  <c r="F36" i="9" s="1"/>
  <c r="E386" i="1"/>
  <c r="E36" i="9" s="1"/>
  <c r="D386" i="1"/>
  <c r="D36" i="9" s="1"/>
  <c r="C386" i="1"/>
  <c r="C36" i="9" s="1"/>
  <c r="AW385" i="1"/>
  <c r="AW38" i="9" s="1"/>
  <c r="AV385" i="1"/>
  <c r="AV38" i="9" s="1"/>
  <c r="AU385" i="1"/>
  <c r="AU38" i="9" s="1"/>
  <c r="AT385" i="1"/>
  <c r="AT38" i="9" s="1"/>
  <c r="AR385" i="1"/>
  <c r="AR38" i="9" s="1"/>
  <c r="AQ385" i="1"/>
  <c r="AQ38" i="9" s="1"/>
  <c r="AP385" i="1"/>
  <c r="AP38" i="9" s="1"/>
  <c r="AO385" i="1"/>
  <c r="AO38" i="9" s="1"/>
  <c r="AM385" i="1"/>
  <c r="AM38" i="9" s="1"/>
  <c r="AL385" i="1"/>
  <c r="AL38" i="9" s="1"/>
  <c r="AK385" i="1"/>
  <c r="AK38" i="9" s="1"/>
  <c r="AJ385" i="1"/>
  <c r="AJ38" i="9" s="1"/>
  <c r="AH385" i="1"/>
  <c r="AH38" i="9" s="1"/>
  <c r="AG385" i="1"/>
  <c r="AG38" i="9" s="1"/>
  <c r="AF385" i="1"/>
  <c r="AF38" i="9" s="1"/>
  <c r="AE385" i="1"/>
  <c r="AE38" i="9" s="1"/>
  <c r="AD385" i="1"/>
  <c r="AD38" i="9" s="1"/>
  <c r="AC385" i="1"/>
  <c r="AC38" i="9" s="1"/>
  <c r="AB385" i="1"/>
  <c r="AB38" i="9" s="1"/>
  <c r="AA385" i="1"/>
  <c r="AA38" i="9" s="1"/>
  <c r="Z385" i="1"/>
  <c r="Z38" i="9" s="1"/>
  <c r="Y385" i="1"/>
  <c r="Y38" i="9" s="1"/>
  <c r="X385" i="1"/>
  <c r="X38" i="9" s="1"/>
  <c r="W385" i="1"/>
  <c r="W38" i="9" s="1"/>
  <c r="V385" i="1"/>
  <c r="V38" i="9" s="1"/>
  <c r="U385" i="1"/>
  <c r="U38" i="9" s="1"/>
  <c r="S385" i="1"/>
  <c r="S38" i="9" s="1"/>
  <c r="R385" i="1"/>
  <c r="R38" i="9" s="1"/>
  <c r="Q385" i="1"/>
  <c r="Q38" i="9" s="1"/>
  <c r="P385" i="1"/>
  <c r="P38" i="9" s="1"/>
  <c r="N385" i="1"/>
  <c r="N38" i="9" s="1"/>
  <c r="M385" i="1"/>
  <c r="M38" i="9" s="1"/>
  <c r="L385" i="1"/>
  <c r="L38" i="9" s="1"/>
  <c r="K385" i="1"/>
  <c r="K38" i="9" s="1"/>
  <c r="I385" i="1"/>
  <c r="I38" i="9" s="1"/>
  <c r="H385" i="1"/>
  <c r="H38" i="9" s="1"/>
  <c r="G385" i="1"/>
  <c r="G38" i="9" s="1"/>
  <c r="F385" i="1"/>
  <c r="F38" i="9" s="1"/>
  <c r="E385" i="1"/>
  <c r="E38" i="9" s="1"/>
  <c r="D385" i="1"/>
  <c r="D38" i="9" s="1"/>
  <c r="C385" i="1"/>
  <c r="C38" i="9" s="1"/>
  <c r="AW382" i="1"/>
  <c r="AW35" i="9" s="1"/>
  <c r="AV382" i="1"/>
  <c r="AV35" i="9" s="1"/>
  <c r="AU382" i="1"/>
  <c r="AU35" i="9" s="1"/>
  <c r="AT382" i="1"/>
  <c r="AT35" i="9" s="1"/>
  <c r="AR382" i="1"/>
  <c r="AR35" i="9" s="1"/>
  <c r="AQ382" i="1"/>
  <c r="AQ35" i="9" s="1"/>
  <c r="AP382" i="1"/>
  <c r="AP35" i="9" s="1"/>
  <c r="AO382" i="1"/>
  <c r="AO35" i="9" s="1"/>
  <c r="AM382" i="1"/>
  <c r="AM35" i="9" s="1"/>
  <c r="AL382" i="1"/>
  <c r="AL35" i="9" s="1"/>
  <c r="AK382" i="1"/>
  <c r="AK35" i="9" s="1"/>
  <c r="AJ382" i="1"/>
  <c r="AJ35" i="9" s="1"/>
  <c r="AH382" i="1"/>
  <c r="AH35" i="9" s="1"/>
  <c r="AG382" i="1"/>
  <c r="AG35" i="9" s="1"/>
  <c r="AF382" i="1"/>
  <c r="AF35" i="9" s="1"/>
  <c r="AE382" i="1"/>
  <c r="AE35" i="9" s="1"/>
  <c r="AD382" i="1"/>
  <c r="AD35" i="9" s="1"/>
  <c r="AC382" i="1"/>
  <c r="AC35" i="9" s="1"/>
  <c r="AB382" i="1"/>
  <c r="AB35" i="9" s="1"/>
  <c r="AA382" i="1"/>
  <c r="AA35" i="9" s="1"/>
  <c r="Z382" i="1"/>
  <c r="Z35" i="9" s="1"/>
  <c r="Y382" i="1"/>
  <c r="Y35" i="9" s="1"/>
  <c r="X382" i="1"/>
  <c r="X35" i="9" s="1"/>
  <c r="W382" i="1"/>
  <c r="W35" i="9" s="1"/>
  <c r="V382" i="1"/>
  <c r="V35" i="9" s="1"/>
  <c r="U382" i="1"/>
  <c r="U35" i="9" s="1"/>
  <c r="S382" i="1"/>
  <c r="S35" i="9" s="1"/>
  <c r="R382" i="1"/>
  <c r="R35" i="9" s="1"/>
  <c r="Q382" i="1"/>
  <c r="Q35" i="9" s="1"/>
  <c r="P382" i="1"/>
  <c r="P35" i="9" s="1"/>
  <c r="N382" i="1"/>
  <c r="N35" i="9" s="1"/>
  <c r="M382" i="1"/>
  <c r="M35" i="9" s="1"/>
  <c r="L382" i="1"/>
  <c r="L35" i="9" s="1"/>
  <c r="K382" i="1"/>
  <c r="K35" i="9" s="1"/>
  <c r="I382" i="1"/>
  <c r="I35" i="9" s="1"/>
  <c r="H382" i="1"/>
  <c r="H35" i="9" s="1"/>
  <c r="G382" i="1"/>
  <c r="G35" i="9" s="1"/>
  <c r="F382" i="1"/>
  <c r="F35" i="9" s="1"/>
  <c r="A380" i="1"/>
  <c r="A757" i="1" s="1"/>
  <c r="AW379" i="1"/>
  <c r="AV379" i="1"/>
  <c r="AV383" i="1" s="1"/>
  <c r="AV388" i="1" s="1"/>
  <c r="AU379" i="1"/>
  <c r="AT379" i="1"/>
  <c r="AR379" i="1"/>
  <c r="AR383" i="1" s="1"/>
  <c r="AR388" i="1" s="1"/>
  <c r="AQ379" i="1"/>
  <c r="AP379" i="1"/>
  <c r="AO379" i="1"/>
  <c r="AM379" i="1"/>
  <c r="AL379" i="1"/>
  <c r="AK379" i="1"/>
  <c r="AJ379" i="1"/>
  <c r="AJ383" i="1" s="1"/>
  <c r="AJ388" i="1" s="1"/>
  <c r="AH379" i="1"/>
  <c r="AG379" i="1"/>
  <c r="AF379" i="1"/>
  <c r="AF383" i="1" s="1"/>
  <c r="AF388" i="1" s="1"/>
  <c r="AE379" i="1"/>
  <c r="AC379" i="1"/>
  <c r="AB379" i="1"/>
  <c r="AB383" i="1" s="1"/>
  <c r="AB388" i="1" s="1"/>
  <c r="AA379" i="1"/>
  <c r="Z379" i="1"/>
  <c r="X379" i="1"/>
  <c r="X383" i="1" s="1"/>
  <c r="X388" i="1" s="1"/>
  <c r="W379" i="1"/>
  <c r="V379" i="1"/>
  <c r="U379" i="1"/>
  <c r="S379" i="1"/>
  <c r="R379" i="1"/>
  <c r="Q379" i="1"/>
  <c r="P379" i="1"/>
  <c r="P383" i="1" s="1"/>
  <c r="P388" i="1" s="1"/>
  <c r="N379" i="1"/>
  <c r="M379" i="1"/>
  <c r="L379" i="1"/>
  <c r="L383" i="1" s="1"/>
  <c r="L388" i="1" s="1"/>
  <c r="K379" i="1"/>
  <c r="I379" i="1"/>
  <c r="I34" i="9" s="1"/>
  <c r="H379" i="1"/>
  <c r="H34" i="9" s="1"/>
  <c r="G379" i="1"/>
  <c r="G34" i="9" s="1"/>
  <c r="F379" i="1"/>
  <c r="E379" i="1"/>
  <c r="D379" i="1"/>
  <c r="C379" i="1"/>
  <c r="U371" i="1"/>
  <c r="P371" i="1"/>
  <c r="K371" i="1"/>
  <c r="U370" i="1"/>
  <c r="P370" i="1"/>
  <c r="K370" i="1"/>
  <c r="U369" i="1"/>
  <c r="P369" i="1"/>
  <c r="K369" i="1"/>
  <c r="U368" i="1"/>
  <c r="U413" i="1" s="1"/>
  <c r="P368" i="1"/>
  <c r="P413" i="1" s="1"/>
  <c r="K368" i="1"/>
  <c r="K413" i="1" s="1"/>
  <c r="AW364" i="1"/>
  <c r="AV364" i="1"/>
  <c r="AU364" i="1"/>
  <c r="AR364" i="1"/>
  <c r="AQ364" i="1"/>
  <c r="AP364" i="1"/>
  <c r="AS364" i="1" s="1"/>
  <c r="AN364" i="1"/>
  <c r="AI364" i="1"/>
  <c r="AD364" i="1"/>
  <c r="Y364" i="1"/>
  <c r="T364" i="1"/>
  <c r="O364" i="1"/>
  <c r="J364" i="1"/>
  <c r="C364" i="1"/>
  <c r="AW363" i="1"/>
  <c r="AV363" i="1"/>
  <c r="AU363" i="1"/>
  <c r="AT363" i="1"/>
  <c r="AS363" i="1"/>
  <c r="AR363" i="1"/>
  <c r="AQ363" i="1"/>
  <c r="AP363" i="1"/>
  <c r="AO363" i="1"/>
  <c r="AN363" i="1"/>
  <c r="AM363" i="1"/>
  <c r="AL363" i="1"/>
  <c r="AK363" i="1"/>
  <c r="AJ363" i="1"/>
  <c r="AI363" i="1"/>
  <c r="AH363" i="1"/>
  <c r="AG363" i="1"/>
  <c r="AF363" i="1"/>
  <c r="AE363" i="1"/>
  <c r="AD363" i="1"/>
  <c r="AC363" i="1"/>
  <c r="AB363" i="1"/>
  <c r="AA363" i="1"/>
  <c r="Z363" i="1"/>
  <c r="Y363" i="1"/>
  <c r="X363" i="1"/>
  <c r="W363" i="1"/>
  <c r="V363" i="1"/>
  <c r="U363" i="1"/>
  <c r="T363" i="1"/>
  <c r="S363" i="1"/>
  <c r="R363" i="1"/>
  <c r="Q363" i="1"/>
  <c r="P363" i="1"/>
  <c r="O363" i="1"/>
  <c r="N363" i="1"/>
  <c r="M363" i="1"/>
  <c r="L363" i="1"/>
  <c r="K363" i="1"/>
  <c r="J363" i="1"/>
  <c r="I363" i="1"/>
  <c r="H363" i="1"/>
  <c r="G363" i="1"/>
  <c r="F363" i="1"/>
  <c r="E363" i="1"/>
  <c r="D363" i="1"/>
  <c r="C363" i="1"/>
  <c r="AW362" i="1"/>
  <c r="AV362" i="1"/>
  <c r="AR362" i="1"/>
  <c r="AQ362" i="1"/>
  <c r="AS362" i="1" s="1"/>
  <c r="AM362" i="1"/>
  <c r="AL362" i="1"/>
  <c r="AK362" i="1"/>
  <c r="AN362" i="1" s="1"/>
  <c r="AJ362" i="1"/>
  <c r="AI362" i="1"/>
  <c r="AH362" i="1"/>
  <c r="AG362" i="1"/>
  <c r="AF362" i="1"/>
  <c r="AE362" i="1"/>
  <c r="AD362" i="1"/>
  <c r="AC362" i="1"/>
  <c r="AB362" i="1"/>
  <c r="AA362" i="1"/>
  <c r="Z362" i="1"/>
  <c r="Y362" i="1"/>
  <c r="X362" i="1"/>
  <c r="W362" i="1"/>
  <c r="V362" i="1"/>
  <c r="U362" i="1"/>
  <c r="T362" i="1"/>
  <c r="S362" i="1"/>
  <c r="R362" i="1"/>
  <c r="Q362" i="1"/>
  <c r="P362" i="1"/>
  <c r="O362" i="1"/>
  <c r="N362" i="1"/>
  <c r="M362" i="1"/>
  <c r="L362" i="1"/>
  <c r="K362" i="1"/>
  <c r="J362" i="1"/>
  <c r="I362" i="1"/>
  <c r="H362" i="1"/>
  <c r="G362" i="1"/>
  <c r="F362" i="1"/>
  <c r="E362" i="1"/>
  <c r="D362" i="1"/>
  <c r="C362" i="1"/>
  <c r="AW361" i="1"/>
  <c r="AW365" i="1" s="1"/>
  <c r="AO361" i="1"/>
  <c r="AO365" i="1" s="1"/>
  <c r="AG361" i="1"/>
  <c r="AG365" i="1" s="1"/>
  <c r="AC361" i="1"/>
  <c r="AC365" i="1" s="1"/>
  <c r="U361" i="1"/>
  <c r="U365" i="1" s="1"/>
  <c r="O361" i="1"/>
  <c r="O365" i="1" s="1"/>
  <c r="M361" i="1"/>
  <c r="M365" i="1" s="1"/>
  <c r="I361" i="1"/>
  <c r="I365" i="1" s="1"/>
  <c r="E361" i="1"/>
  <c r="E365" i="1" s="1"/>
  <c r="AW358" i="1"/>
  <c r="AV358" i="1"/>
  <c r="AU358" i="1"/>
  <c r="AT358" i="1"/>
  <c r="AS358" i="1"/>
  <c r="AO358" i="1"/>
  <c r="AJ358" i="1"/>
  <c r="AE358" i="1"/>
  <c r="Z358" i="1"/>
  <c r="U358" i="1"/>
  <c r="L358" i="1"/>
  <c r="P358" i="1" s="1"/>
  <c r="AW357" i="1"/>
  <c r="AV357" i="1"/>
  <c r="AU357" i="1"/>
  <c r="AT357" i="1"/>
  <c r="AS357" i="1"/>
  <c r="AO357" i="1"/>
  <c r="AJ357" i="1"/>
  <c r="AE357" i="1"/>
  <c r="Z357" i="1"/>
  <c r="U357" i="1"/>
  <c r="L357" i="1"/>
  <c r="P357" i="1" s="1"/>
  <c r="AW356" i="1"/>
  <c r="AV356" i="1"/>
  <c r="AU356" i="1"/>
  <c r="AO356" i="1"/>
  <c r="AJ356" i="1"/>
  <c r="AE356" i="1"/>
  <c r="Z356" i="1"/>
  <c r="U356" i="1"/>
  <c r="L356" i="1"/>
  <c r="P356" i="1" s="1"/>
  <c r="AW355" i="1"/>
  <c r="AV355" i="1"/>
  <c r="AU355" i="1"/>
  <c r="AO355" i="1"/>
  <c r="AJ355" i="1"/>
  <c r="AE355" i="1"/>
  <c r="Z355" i="1"/>
  <c r="U355" i="1"/>
  <c r="L355" i="1"/>
  <c r="P355" i="1" s="1"/>
  <c r="BG351" i="1"/>
  <c r="BF351" i="1"/>
  <c r="BE351" i="1"/>
  <c r="BD351" i="1"/>
  <c r="BC351" i="1"/>
  <c r="BB351" i="1"/>
  <c r="BA351" i="1"/>
  <c r="AZ351" i="1"/>
  <c r="AY351" i="1"/>
  <c r="AX351" i="1"/>
  <c r="AS348" i="1"/>
  <c r="AS404" i="1" s="1"/>
  <c r="AN348" i="1"/>
  <c r="AN404" i="1" s="1"/>
  <c r="AD348" i="1"/>
  <c r="AD404" i="1" s="1"/>
  <c r="Y348" i="1"/>
  <c r="Y404" i="1" s="1"/>
  <c r="T348" i="1"/>
  <c r="T404" i="1" s="1"/>
  <c r="O348" i="1"/>
  <c r="O404" i="1" s="1"/>
  <c r="J348" i="1"/>
  <c r="J404" i="1" s="1"/>
  <c r="AD346" i="1"/>
  <c r="AD401" i="1" s="1"/>
  <c r="Y346" i="1"/>
  <c r="Y401" i="1" s="1"/>
  <c r="T346" i="1"/>
  <c r="T401" i="1" s="1"/>
  <c r="O346" i="1"/>
  <c r="O401" i="1" s="1"/>
  <c r="J346" i="1"/>
  <c r="J401" i="1" s="1"/>
  <c r="AS345" i="1"/>
  <c r="AS400" i="1" s="1"/>
  <c r="AS41" i="9" s="1"/>
  <c r="AN345" i="1"/>
  <c r="AN400" i="1" s="1"/>
  <c r="AN41" i="9" s="1"/>
  <c r="AD345" i="1"/>
  <c r="AD400" i="1" s="1"/>
  <c r="Y345" i="1"/>
  <c r="Y400" i="1" s="1"/>
  <c r="Y41" i="9" s="1"/>
  <c r="T345" i="1"/>
  <c r="T400" i="1" s="1"/>
  <c r="T41" i="9" s="1"/>
  <c r="O345" i="1"/>
  <c r="O400" i="1" s="1"/>
  <c r="O41" i="9" s="1"/>
  <c r="J345" i="1"/>
  <c r="J400" i="1" s="1"/>
  <c r="AS344" i="1"/>
  <c r="AS398" i="1" s="1"/>
  <c r="AN344" i="1"/>
  <c r="AN398" i="1" s="1"/>
  <c r="AD344" i="1"/>
  <c r="AD398" i="1" s="1"/>
  <c r="Y344" i="1"/>
  <c r="Y398" i="1" s="1"/>
  <c r="T344" i="1"/>
  <c r="T398" i="1" s="1"/>
  <c r="O344" i="1"/>
  <c r="O398" i="1" s="1"/>
  <c r="J344" i="1"/>
  <c r="J398" i="1" s="1"/>
  <c r="AW342" i="1"/>
  <c r="AV342" i="1"/>
  <c r="AU342" i="1"/>
  <c r="AT342" i="1"/>
  <c r="AR342" i="1"/>
  <c r="AQ342" i="1"/>
  <c r="AP342" i="1"/>
  <c r="AO342" i="1"/>
  <c r="AN342" i="1"/>
  <c r="AM342" i="1"/>
  <c r="AL342" i="1"/>
  <c r="AK342" i="1"/>
  <c r="AJ342" i="1"/>
  <c r="AH342" i="1"/>
  <c r="AG342" i="1"/>
  <c r="AF342" i="1"/>
  <c r="AE342" i="1"/>
  <c r="AD342" i="1"/>
  <c r="AC342" i="1"/>
  <c r="AB342" i="1"/>
  <c r="AA342" i="1"/>
  <c r="Z342" i="1"/>
  <c r="Y342" i="1"/>
  <c r="X342" i="1"/>
  <c r="W342" i="1"/>
  <c r="V342" i="1"/>
  <c r="U342" i="1"/>
  <c r="T342" i="1"/>
  <c r="S342" i="1"/>
  <c r="R342" i="1"/>
  <c r="Q342" i="1"/>
  <c r="P342" i="1"/>
  <c r="N342" i="1"/>
  <c r="M342" i="1"/>
  <c r="L342" i="1"/>
  <c r="K342" i="1"/>
  <c r="I342" i="1"/>
  <c r="H342" i="1"/>
  <c r="G342" i="1"/>
  <c r="F342" i="1"/>
  <c r="E342" i="1"/>
  <c r="D342" i="1"/>
  <c r="C342" i="1"/>
  <c r="AS341" i="1"/>
  <c r="AS387" i="1" s="1"/>
  <c r="AN341" i="1"/>
  <c r="AN387" i="1" s="1"/>
  <c r="AI341" i="1"/>
  <c r="AI387" i="1" s="1"/>
  <c r="T341" i="1"/>
  <c r="T387" i="1" s="1"/>
  <c r="O341" i="1"/>
  <c r="O387" i="1" s="1"/>
  <c r="J341" i="1"/>
  <c r="J387" i="1" s="1"/>
  <c r="AS340" i="1"/>
  <c r="AS385" i="1" s="1"/>
  <c r="AN340" i="1"/>
  <c r="AN385" i="1" s="1"/>
  <c r="AI340" i="1"/>
  <c r="AI385" i="1" s="1"/>
  <c r="T340" i="1"/>
  <c r="T385" i="1" s="1"/>
  <c r="O340" i="1"/>
  <c r="O385" i="1" s="1"/>
  <c r="J340" i="1"/>
  <c r="J385" i="1" s="1"/>
  <c r="AS339" i="1"/>
  <c r="AS386" i="1" s="1"/>
  <c r="AN339" i="1"/>
  <c r="AN386" i="1" s="1"/>
  <c r="AI339" i="1"/>
  <c r="AI342" i="1" s="1"/>
  <c r="T339" i="1"/>
  <c r="T386" i="1" s="1"/>
  <c r="O339" i="1"/>
  <c r="O342" i="1" s="1"/>
  <c r="J339" i="1"/>
  <c r="J342" i="1" s="1"/>
  <c r="AW338" i="1"/>
  <c r="AW343" i="1" s="1"/>
  <c r="AW347" i="1" s="1"/>
  <c r="AW349" i="1" s="1"/>
  <c r="AV338" i="1"/>
  <c r="AV343" i="1" s="1"/>
  <c r="AV347" i="1" s="1"/>
  <c r="AV349" i="1" s="1"/>
  <c r="AU338" i="1"/>
  <c r="AU343" i="1" s="1"/>
  <c r="AU347" i="1" s="1"/>
  <c r="AU349" i="1" s="1"/>
  <c r="AT338" i="1"/>
  <c r="AT343" i="1" s="1"/>
  <c r="AT347" i="1" s="1"/>
  <c r="AT349" i="1" s="1"/>
  <c r="AS338" i="1"/>
  <c r="AR338" i="1"/>
  <c r="AR343" i="1" s="1"/>
  <c r="AR347" i="1" s="1"/>
  <c r="AR349" i="1" s="1"/>
  <c r="AQ338" i="1"/>
  <c r="AQ343" i="1" s="1"/>
  <c r="AQ347" i="1" s="1"/>
  <c r="AQ349" i="1" s="1"/>
  <c r="AP338" i="1"/>
  <c r="AP343" i="1" s="1"/>
  <c r="AP347" i="1" s="1"/>
  <c r="AP349" i="1" s="1"/>
  <c r="AO338" i="1"/>
  <c r="AO343" i="1" s="1"/>
  <c r="AO347" i="1" s="1"/>
  <c r="AO349" i="1" s="1"/>
  <c r="AM338" i="1"/>
  <c r="AM343" i="1" s="1"/>
  <c r="AM347" i="1" s="1"/>
  <c r="AM349" i="1" s="1"/>
  <c r="AL338" i="1"/>
  <c r="AL343" i="1" s="1"/>
  <c r="AL347" i="1" s="1"/>
  <c r="AL349" i="1" s="1"/>
  <c r="AK338" i="1"/>
  <c r="AK343" i="1" s="1"/>
  <c r="AK347" i="1" s="1"/>
  <c r="AK349" i="1" s="1"/>
  <c r="AJ338" i="1"/>
  <c r="AJ343" i="1" s="1"/>
  <c r="AJ347" i="1" s="1"/>
  <c r="AJ349" i="1" s="1"/>
  <c r="AH338" i="1"/>
  <c r="AH343" i="1" s="1"/>
  <c r="AH347" i="1" s="1"/>
  <c r="AH349" i="1" s="1"/>
  <c r="AG338" i="1"/>
  <c r="AG343" i="1" s="1"/>
  <c r="AG347" i="1" s="1"/>
  <c r="AG349" i="1" s="1"/>
  <c r="AF338" i="1"/>
  <c r="AF343" i="1" s="1"/>
  <c r="AF347" i="1" s="1"/>
  <c r="AF349" i="1" s="1"/>
  <c r="AE338" i="1"/>
  <c r="AE343" i="1" s="1"/>
  <c r="AE347" i="1" s="1"/>
  <c r="AE349" i="1" s="1"/>
  <c r="AC338" i="1"/>
  <c r="AC343" i="1" s="1"/>
  <c r="AC347" i="1" s="1"/>
  <c r="AC349" i="1" s="1"/>
  <c r="AB338" i="1"/>
  <c r="AB343" i="1" s="1"/>
  <c r="AB347" i="1" s="1"/>
  <c r="AB349" i="1" s="1"/>
  <c r="AA338" i="1"/>
  <c r="AA343" i="1" s="1"/>
  <c r="AA347" i="1" s="1"/>
  <c r="AA349" i="1" s="1"/>
  <c r="Z338" i="1"/>
  <c r="Z343" i="1" s="1"/>
  <c r="Z347" i="1" s="1"/>
  <c r="Z349" i="1" s="1"/>
  <c r="Y338" i="1"/>
  <c r="Y343" i="1" s="1"/>
  <c r="Y347" i="1" s="1"/>
  <c r="Y349" i="1" s="1"/>
  <c r="Y354" i="1" s="1"/>
  <c r="Y359" i="1" s="1"/>
  <c r="Y395" i="1" s="1"/>
  <c r="X338" i="1"/>
  <c r="X343" i="1" s="1"/>
  <c r="X347" i="1" s="1"/>
  <c r="X349" i="1" s="1"/>
  <c r="W338" i="1"/>
  <c r="W343" i="1" s="1"/>
  <c r="W347" i="1" s="1"/>
  <c r="W349" i="1" s="1"/>
  <c r="V338" i="1"/>
  <c r="V343" i="1" s="1"/>
  <c r="V347" i="1" s="1"/>
  <c r="V349" i="1" s="1"/>
  <c r="U338" i="1"/>
  <c r="U343" i="1" s="1"/>
  <c r="U347" i="1" s="1"/>
  <c r="U349" i="1" s="1"/>
  <c r="S338" i="1"/>
  <c r="S343" i="1" s="1"/>
  <c r="S347" i="1" s="1"/>
  <c r="S349" i="1" s="1"/>
  <c r="R338" i="1"/>
  <c r="R343" i="1" s="1"/>
  <c r="R347" i="1" s="1"/>
  <c r="R349" i="1" s="1"/>
  <c r="Q338" i="1"/>
  <c r="Q343" i="1" s="1"/>
  <c r="Q347" i="1" s="1"/>
  <c r="Q349" i="1" s="1"/>
  <c r="P338" i="1"/>
  <c r="P343" i="1" s="1"/>
  <c r="P347" i="1" s="1"/>
  <c r="P349" i="1" s="1"/>
  <c r="N338" i="1"/>
  <c r="N343" i="1" s="1"/>
  <c r="N347" i="1" s="1"/>
  <c r="N349" i="1" s="1"/>
  <c r="M338" i="1"/>
  <c r="M343" i="1" s="1"/>
  <c r="M347" i="1" s="1"/>
  <c r="M349" i="1" s="1"/>
  <c r="L338" i="1"/>
  <c r="L343" i="1" s="1"/>
  <c r="L347" i="1" s="1"/>
  <c r="L349" i="1" s="1"/>
  <c r="K338" i="1"/>
  <c r="K343" i="1" s="1"/>
  <c r="K347" i="1" s="1"/>
  <c r="K349" i="1" s="1"/>
  <c r="I338" i="1"/>
  <c r="I343" i="1" s="1"/>
  <c r="I347" i="1" s="1"/>
  <c r="I349" i="1" s="1"/>
  <c r="H338" i="1"/>
  <c r="H343" i="1" s="1"/>
  <c r="H347" i="1" s="1"/>
  <c r="H349" i="1" s="1"/>
  <c r="G338" i="1"/>
  <c r="G343" i="1" s="1"/>
  <c r="G347" i="1" s="1"/>
  <c r="G349" i="1" s="1"/>
  <c r="F338" i="1"/>
  <c r="F343" i="1" s="1"/>
  <c r="F347" i="1" s="1"/>
  <c r="F349" i="1" s="1"/>
  <c r="E338" i="1"/>
  <c r="E343" i="1" s="1"/>
  <c r="E347" i="1" s="1"/>
  <c r="E349" i="1" s="1"/>
  <c r="AS337" i="1"/>
  <c r="AS382" i="1" s="1"/>
  <c r="AN337" i="1"/>
  <c r="AN382" i="1" s="1"/>
  <c r="AI337" i="1"/>
  <c r="AI382" i="1" s="1"/>
  <c r="T337" i="1"/>
  <c r="T382" i="1" s="1"/>
  <c r="O337" i="1"/>
  <c r="O382" i="1" s="1"/>
  <c r="J337" i="1"/>
  <c r="J382" i="1" s="1"/>
  <c r="E337" i="1"/>
  <c r="E382" i="1" s="1"/>
  <c r="D337" i="1"/>
  <c r="D338" i="1" s="1"/>
  <c r="C337" i="1"/>
  <c r="C338" i="1" s="1"/>
  <c r="AD336" i="1"/>
  <c r="Y336" i="1"/>
  <c r="T336" i="1"/>
  <c r="O336" i="1"/>
  <c r="J336" i="1"/>
  <c r="AD335" i="1"/>
  <c r="Y335" i="1"/>
  <c r="T335" i="1"/>
  <c r="O335" i="1"/>
  <c r="J335" i="1"/>
  <c r="AS334" i="1"/>
  <c r="AS379" i="1" s="1"/>
  <c r="AN334" i="1"/>
  <c r="AI334" i="1"/>
  <c r="AI379" i="1" s="1"/>
  <c r="AD334" i="1"/>
  <c r="AD379" i="1" s="1"/>
  <c r="Y334" i="1"/>
  <c r="Y379" i="1" s="1"/>
  <c r="T334" i="1"/>
  <c r="O334" i="1"/>
  <c r="O379" i="1" s="1"/>
  <c r="J334" i="1"/>
  <c r="J379" i="1" s="1"/>
  <c r="AW328" i="1"/>
  <c r="AV328" i="1"/>
  <c r="AU328" i="1"/>
  <c r="AT328" i="1"/>
  <c r="AR328" i="1"/>
  <c r="AQ328" i="1"/>
  <c r="AP328" i="1"/>
  <c r="AO328" i="1"/>
  <c r="AM328" i="1"/>
  <c r="AL328" i="1"/>
  <c r="AK328" i="1"/>
  <c r="AJ328" i="1"/>
  <c r="AH328" i="1"/>
  <c r="AG328" i="1"/>
  <c r="AF328" i="1"/>
  <c r="AE328" i="1"/>
  <c r="AC328" i="1"/>
  <c r="AB328" i="1"/>
  <c r="AA328" i="1"/>
  <c r="Z328" i="1"/>
  <c r="X328" i="1"/>
  <c r="W328" i="1"/>
  <c r="V328" i="1"/>
  <c r="U328" i="1"/>
  <c r="S328" i="1"/>
  <c r="R328" i="1"/>
  <c r="Q328" i="1"/>
  <c r="P328" i="1"/>
  <c r="N328" i="1"/>
  <c r="M328" i="1"/>
  <c r="L328" i="1"/>
  <c r="K328" i="1"/>
  <c r="I328" i="1"/>
  <c r="H328" i="1"/>
  <c r="G328" i="1"/>
  <c r="F328" i="1"/>
  <c r="E328" i="1"/>
  <c r="D328" i="1"/>
  <c r="C328" i="1"/>
  <c r="AW327" i="1"/>
  <c r="AV327" i="1"/>
  <c r="AU327" i="1"/>
  <c r="AT327" i="1"/>
  <c r="AR327" i="1"/>
  <c r="AQ327" i="1"/>
  <c r="AP327" i="1"/>
  <c r="AO327" i="1"/>
  <c r="AM327" i="1"/>
  <c r="AL327" i="1"/>
  <c r="AK327" i="1"/>
  <c r="AJ327" i="1"/>
  <c r="AH327" i="1"/>
  <c r="AG327" i="1"/>
  <c r="AF327" i="1"/>
  <c r="AE327" i="1"/>
  <c r="AC327" i="1"/>
  <c r="AB327" i="1"/>
  <c r="AA327" i="1"/>
  <c r="Z327" i="1"/>
  <c r="X327" i="1"/>
  <c r="W327" i="1"/>
  <c r="V327" i="1"/>
  <c r="U327" i="1"/>
  <c r="S327" i="1"/>
  <c r="R327" i="1"/>
  <c r="Q327" i="1"/>
  <c r="P327" i="1"/>
  <c r="N327" i="1"/>
  <c r="M327" i="1"/>
  <c r="L327" i="1"/>
  <c r="K327" i="1"/>
  <c r="I327" i="1"/>
  <c r="H327" i="1"/>
  <c r="G327" i="1"/>
  <c r="F327" i="1"/>
  <c r="E327" i="1"/>
  <c r="D327" i="1"/>
  <c r="C327" i="1"/>
  <c r="AW322" i="1"/>
  <c r="AV322" i="1"/>
  <c r="AU322" i="1"/>
  <c r="AT322" i="1"/>
  <c r="AR322" i="1"/>
  <c r="AQ322" i="1"/>
  <c r="AP322" i="1"/>
  <c r="AO322" i="1"/>
  <c r="AM322" i="1"/>
  <c r="AL322" i="1"/>
  <c r="AK322" i="1"/>
  <c r="AJ322" i="1"/>
  <c r="AH322" i="1"/>
  <c r="AG322" i="1"/>
  <c r="AF322" i="1"/>
  <c r="AE322" i="1"/>
  <c r="AC322" i="1"/>
  <c r="AB322" i="1"/>
  <c r="AA322" i="1"/>
  <c r="Z322" i="1"/>
  <c r="X322" i="1"/>
  <c r="W322" i="1"/>
  <c r="V322" i="1"/>
  <c r="U322" i="1"/>
  <c r="S322" i="1"/>
  <c r="R322" i="1"/>
  <c r="Q322" i="1"/>
  <c r="P322" i="1"/>
  <c r="N322" i="1"/>
  <c r="M322" i="1"/>
  <c r="L322" i="1"/>
  <c r="K322" i="1"/>
  <c r="I322" i="1"/>
  <c r="H322" i="1"/>
  <c r="G322" i="1"/>
  <c r="F322" i="1"/>
  <c r="E322" i="1"/>
  <c r="D322" i="1"/>
  <c r="C322" i="1"/>
  <c r="AW321" i="1"/>
  <c r="AW58" i="9" s="1"/>
  <c r="AV321" i="1"/>
  <c r="AV58" i="9" s="1"/>
  <c r="AU321" i="1"/>
  <c r="AU58" i="9" s="1"/>
  <c r="AT321" i="1"/>
  <c r="AT58" i="9" s="1"/>
  <c r="AR321" i="1"/>
  <c r="AR58" i="9" s="1"/>
  <c r="AQ321" i="1"/>
  <c r="AQ58" i="9" s="1"/>
  <c r="AP321" i="1"/>
  <c r="AP58" i="9" s="1"/>
  <c r="AO321" i="1"/>
  <c r="AO58" i="9" s="1"/>
  <c r="AM321" i="1"/>
  <c r="AM58" i="9" s="1"/>
  <c r="AL321" i="1"/>
  <c r="AL58" i="9" s="1"/>
  <c r="AK321" i="1"/>
  <c r="AK58" i="9" s="1"/>
  <c r="AJ321" i="1"/>
  <c r="AJ58" i="9" s="1"/>
  <c r="AH321" i="1"/>
  <c r="AH58" i="9" s="1"/>
  <c r="AG321" i="1"/>
  <c r="AG58" i="9" s="1"/>
  <c r="AF321" i="1"/>
  <c r="AF58" i="9" s="1"/>
  <c r="AE321" i="1"/>
  <c r="AE58" i="9" s="1"/>
  <c r="AC321" i="1"/>
  <c r="AC58" i="9" s="1"/>
  <c r="AB321" i="1"/>
  <c r="AB58" i="9" s="1"/>
  <c r="AA321" i="1"/>
  <c r="AA58" i="9" s="1"/>
  <c r="Z321" i="1"/>
  <c r="Z58" i="9" s="1"/>
  <c r="X321" i="1"/>
  <c r="X58" i="9" s="1"/>
  <c r="W321" i="1"/>
  <c r="W58" i="9" s="1"/>
  <c r="V321" i="1"/>
  <c r="V58" i="9" s="1"/>
  <c r="U321" i="1"/>
  <c r="U58" i="9" s="1"/>
  <c r="S321" i="1"/>
  <c r="S58" i="9" s="1"/>
  <c r="R321" i="1"/>
  <c r="R58" i="9" s="1"/>
  <c r="Q321" i="1"/>
  <c r="Q58" i="9" s="1"/>
  <c r="P321" i="1"/>
  <c r="P58" i="9" s="1"/>
  <c r="N321" i="1"/>
  <c r="N58" i="9" s="1"/>
  <c r="M321" i="1"/>
  <c r="M58" i="9" s="1"/>
  <c r="L321" i="1"/>
  <c r="L58" i="9" s="1"/>
  <c r="K321" i="1"/>
  <c r="K58" i="9" s="1"/>
  <c r="I321" i="1"/>
  <c r="I58" i="9" s="1"/>
  <c r="H321" i="1"/>
  <c r="H58" i="9" s="1"/>
  <c r="G321" i="1"/>
  <c r="G58" i="9" s="1"/>
  <c r="F321" i="1"/>
  <c r="F58" i="9" s="1"/>
  <c r="E321" i="1"/>
  <c r="E58" i="9" s="1"/>
  <c r="D321" i="1"/>
  <c r="D58" i="9" s="1"/>
  <c r="C321" i="1"/>
  <c r="C58" i="9" s="1"/>
  <c r="AO320" i="1"/>
  <c r="AN320" i="1"/>
  <c r="AM320" i="1"/>
  <c r="AL320" i="1"/>
  <c r="AK320" i="1"/>
  <c r="AJ320" i="1"/>
  <c r="AI320" i="1"/>
  <c r="AH320" i="1"/>
  <c r="AG320" i="1"/>
  <c r="AF320" i="1"/>
  <c r="AE320" i="1"/>
  <c r="AD320" i="1"/>
  <c r="AC320" i="1"/>
  <c r="AB320" i="1"/>
  <c r="AA320" i="1"/>
  <c r="Z320" i="1"/>
  <c r="Y320" i="1"/>
  <c r="X320" i="1"/>
  <c r="W320" i="1"/>
  <c r="V320" i="1"/>
  <c r="U320" i="1"/>
  <c r="T320" i="1"/>
  <c r="S320" i="1"/>
  <c r="R320" i="1"/>
  <c r="Q320" i="1"/>
  <c r="P320" i="1"/>
  <c r="O320" i="1"/>
  <c r="N320" i="1"/>
  <c r="M320" i="1"/>
  <c r="L320" i="1"/>
  <c r="K320" i="1"/>
  <c r="J320" i="1"/>
  <c r="I320" i="1"/>
  <c r="H320" i="1"/>
  <c r="G320" i="1"/>
  <c r="F320" i="1"/>
  <c r="AO319" i="1"/>
  <c r="AN319" i="1"/>
  <c r="AM319" i="1"/>
  <c r="AL319" i="1"/>
  <c r="AK319" i="1"/>
  <c r="AJ319" i="1"/>
  <c r="AI319" i="1"/>
  <c r="AH319" i="1"/>
  <c r="AG319" i="1"/>
  <c r="AF319" i="1"/>
  <c r="AE319" i="1"/>
  <c r="AD319" i="1"/>
  <c r="AC319" i="1"/>
  <c r="AB319" i="1"/>
  <c r="AA319" i="1"/>
  <c r="Z319" i="1"/>
  <c r="Y319" i="1"/>
  <c r="X319" i="1"/>
  <c r="W319" i="1"/>
  <c r="V319" i="1"/>
  <c r="U319" i="1"/>
  <c r="T319" i="1"/>
  <c r="S319" i="1"/>
  <c r="R319" i="1"/>
  <c r="Q319" i="1"/>
  <c r="P319" i="1"/>
  <c r="O319" i="1"/>
  <c r="N319" i="1"/>
  <c r="M319" i="1"/>
  <c r="L319" i="1"/>
  <c r="K319" i="1"/>
  <c r="J319" i="1"/>
  <c r="I319" i="1"/>
  <c r="H319" i="1"/>
  <c r="G319" i="1"/>
  <c r="F319" i="1"/>
  <c r="AO318" i="1"/>
  <c r="AN318" i="1"/>
  <c r="AM318" i="1"/>
  <c r="AL318" i="1"/>
  <c r="AK318" i="1"/>
  <c r="AJ318" i="1"/>
  <c r="AI318" i="1"/>
  <c r="AH318" i="1"/>
  <c r="AG318" i="1"/>
  <c r="AF318" i="1"/>
  <c r="AE318" i="1"/>
  <c r="AD318" i="1"/>
  <c r="AC318" i="1"/>
  <c r="AB318" i="1"/>
  <c r="AA318" i="1"/>
  <c r="Z318" i="1"/>
  <c r="Y318" i="1"/>
  <c r="X318" i="1"/>
  <c r="W318" i="1"/>
  <c r="V318" i="1"/>
  <c r="U318" i="1"/>
  <c r="T318" i="1"/>
  <c r="S318" i="1"/>
  <c r="R318" i="1"/>
  <c r="Q318" i="1"/>
  <c r="P318" i="1"/>
  <c r="O318" i="1"/>
  <c r="N318" i="1"/>
  <c r="M318" i="1"/>
  <c r="L318" i="1"/>
  <c r="K318" i="1"/>
  <c r="J318" i="1"/>
  <c r="I318" i="1"/>
  <c r="H318" i="1"/>
  <c r="G318" i="1"/>
  <c r="F318" i="1"/>
  <c r="AW317" i="1"/>
  <c r="AV317" i="1"/>
  <c r="AU317" i="1"/>
  <c r="AT317" i="1"/>
  <c r="AR317" i="1"/>
  <c r="AQ317" i="1"/>
  <c r="AP317" i="1"/>
  <c r="AO317" i="1"/>
  <c r="AM317" i="1"/>
  <c r="AL317" i="1"/>
  <c r="AK317" i="1"/>
  <c r="AJ317" i="1"/>
  <c r="AH317" i="1"/>
  <c r="AG317" i="1"/>
  <c r="AF317" i="1"/>
  <c r="AE317" i="1"/>
  <c r="AC317" i="1"/>
  <c r="AB317" i="1"/>
  <c r="AA317" i="1"/>
  <c r="Z317" i="1"/>
  <c r="X317" i="1"/>
  <c r="W317" i="1"/>
  <c r="V317" i="1"/>
  <c r="U317" i="1"/>
  <c r="S317" i="1"/>
  <c r="R317" i="1"/>
  <c r="Q317" i="1"/>
  <c r="P317" i="1"/>
  <c r="N317" i="1"/>
  <c r="M317" i="1"/>
  <c r="L317" i="1"/>
  <c r="K317" i="1"/>
  <c r="I317" i="1"/>
  <c r="H317" i="1"/>
  <c r="G317" i="1"/>
  <c r="F317" i="1"/>
  <c r="E317" i="1"/>
  <c r="D317" i="1"/>
  <c r="C317" i="1"/>
  <c r="AW314" i="1"/>
  <c r="AV314" i="1"/>
  <c r="AU314" i="1"/>
  <c r="AT314" i="1"/>
  <c r="AS314" i="1"/>
  <c r="AR314" i="1"/>
  <c r="AQ314" i="1"/>
  <c r="AP314" i="1"/>
  <c r="AO314" i="1"/>
  <c r="AM314" i="1"/>
  <c r="AL314" i="1"/>
  <c r="AK314" i="1"/>
  <c r="AJ314" i="1"/>
  <c r="AH314" i="1"/>
  <c r="AG314" i="1"/>
  <c r="AF314" i="1"/>
  <c r="AE314" i="1"/>
  <c r="AC314" i="1"/>
  <c r="AB314" i="1"/>
  <c r="AA314" i="1"/>
  <c r="Z314" i="1"/>
  <c r="Y314" i="1"/>
  <c r="X314" i="1"/>
  <c r="W314" i="1"/>
  <c r="V314" i="1"/>
  <c r="U314" i="1"/>
  <c r="S314" i="1"/>
  <c r="R314" i="1"/>
  <c r="Q314" i="1"/>
  <c r="P314" i="1"/>
  <c r="N314" i="1"/>
  <c r="M314" i="1"/>
  <c r="L314" i="1"/>
  <c r="K314" i="1"/>
  <c r="I314" i="1"/>
  <c r="H314" i="1"/>
  <c r="G314" i="1"/>
  <c r="F314" i="1"/>
  <c r="E314" i="1"/>
  <c r="AW313" i="1"/>
  <c r="AW57" i="9" s="1"/>
  <c r="AV313" i="1"/>
  <c r="AV57" i="9" s="1"/>
  <c r="AU313" i="1"/>
  <c r="AU57" i="9" s="1"/>
  <c r="AT313" i="1"/>
  <c r="AT57" i="9" s="1"/>
  <c r="AR313" i="1"/>
  <c r="AR57" i="9" s="1"/>
  <c r="AQ313" i="1"/>
  <c r="AQ57" i="9" s="1"/>
  <c r="AP313" i="1"/>
  <c r="AP57" i="9" s="1"/>
  <c r="AO313" i="1"/>
  <c r="AO57" i="9" s="1"/>
  <c r="AM313" i="1"/>
  <c r="AM57" i="9" s="1"/>
  <c r="AL313" i="1"/>
  <c r="AL57" i="9" s="1"/>
  <c r="AK313" i="1"/>
  <c r="AK57" i="9" s="1"/>
  <c r="AJ313" i="1"/>
  <c r="AJ57" i="9" s="1"/>
  <c r="AH313" i="1"/>
  <c r="AH57" i="9" s="1"/>
  <c r="AG313" i="1"/>
  <c r="AG57" i="9" s="1"/>
  <c r="AF313" i="1"/>
  <c r="AF57" i="9" s="1"/>
  <c r="AE313" i="1"/>
  <c r="AE57" i="9" s="1"/>
  <c r="AC313" i="1"/>
  <c r="AC57" i="9" s="1"/>
  <c r="AB313" i="1"/>
  <c r="AB57" i="9" s="1"/>
  <c r="AA313" i="1"/>
  <c r="AA57" i="9" s="1"/>
  <c r="Z313" i="1"/>
  <c r="Z57" i="9" s="1"/>
  <c r="X313" i="1"/>
  <c r="X57" i="9" s="1"/>
  <c r="W313" i="1"/>
  <c r="W57" i="9" s="1"/>
  <c r="V313" i="1"/>
  <c r="V57" i="9" s="1"/>
  <c r="U313" i="1"/>
  <c r="U57" i="9" s="1"/>
  <c r="S313" i="1"/>
  <c r="S57" i="9" s="1"/>
  <c r="R313" i="1"/>
  <c r="R57" i="9" s="1"/>
  <c r="Q313" i="1"/>
  <c r="Q57" i="9" s="1"/>
  <c r="P313" i="1"/>
  <c r="P57" i="9" s="1"/>
  <c r="N313" i="1"/>
  <c r="N57" i="9" s="1"/>
  <c r="M313" i="1"/>
  <c r="M57" i="9" s="1"/>
  <c r="L313" i="1"/>
  <c r="L57" i="9" s="1"/>
  <c r="K313" i="1"/>
  <c r="K57" i="9" s="1"/>
  <c r="I313" i="1"/>
  <c r="I57" i="9" s="1"/>
  <c r="H313" i="1"/>
  <c r="H57" i="9" s="1"/>
  <c r="G313" i="1"/>
  <c r="G57" i="9" s="1"/>
  <c r="F313" i="1"/>
  <c r="F57" i="9" s="1"/>
  <c r="AO312" i="1"/>
  <c r="AN312" i="1"/>
  <c r="AM312" i="1"/>
  <c r="AL312" i="1"/>
  <c r="AK312" i="1"/>
  <c r="AJ312" i="1"/>
  <c r="AI312" i="1"/>
  <c r="AH312" i="1"/>
  <c r="AG312" i="1"/>
  <c r="AF312" i="1"/>
  <c r="AE312" i="1"/>
  <c r="AD312" i="1"/>
  <c r="AC312" i="1"/>
  <c r="AB312" i="1"/>
  <c r="AA312" i="1"/>
  <c r="Z312" i="1"/>
  <c r="Y312" i="1"/>
  <c r="X312" i="1"/>
  <c r="W312" i="1"/>
  <c r="V312" i="1"/>
  <c r="U312" i="1"/>
  <c r="T312" i="1"/>
  <c r="S312" i="1"/>
  <c r="R312" i="1"/>
  <c r="Q312" i="1"/>
  <c r="P312" i="1"/>
  <c r="O312" i="1"/>
  <c r="N312" i="1"/>
  <c r="M312" i="1"/>
  <c r="L312" i="1"/>
  <c r="K312" i="1"/>
  <c r="J312" i="1"/>
  <c r="I312" i="1"/>
  <c r="H312" i="1"/>
  <c r="G312" i="1"/>
  <c r="F312" i="1"/>
  <c r="AO311" i="1"/>
  <c r="AN311" i="1"/>
  <c r="AM311" i="1"/>
  <c r="AL311" i="1"/>
  <c r="AK311" i="1"/>
  <c r="AJ311" i="1"/>
  <c r="AI311" i="1"/>
  <c r="AH311" i="1"/>
  <c r="AG311" i="1"/>
  <c r="AF311" i="1"/>
  <c r="AE311" i="1"/>
  <c r="AD311" i="1"/>
  <c r="AC311" i="1"/>
  <c r="AB311" i="1"/>
  <c r="AA311" i="1"/>
  <c r="Z311" i="1"/>
  <c r="Y311" i="1"/>
  <c r="X311" i="1"/>
  <c r="W311" i="1"/>
  <c r="V311" i="1"/>
  <c r="U311" i="1"/>
  <c r="T311" i="1"/>
  <c r="S311" i="1"/>
  <c r="R311" i="1"/>
  <c r="Q311" i="1"/>
  <c r="P311" i="1"/>
  <c r="O311" i="1"/>
  <c r="N311" i="1"/>
  <c r="M311" i="1"/>
  <c r="L311" i="1"/>
  <c r="K311" i="1"/>
  <c r="J311" i="1"/>
  <c r="I311" i="1"/>
  <c r="H311" i="1"/>
  <c r="G311" i="1"/>
  <c r="F311" i="1"/>
  <c r="AO310" i="1"/>
  <c r="AN310" i="1"/>
  <c r="AM310" i="1"/>
  <c r="AL310" i="1"/>
  <c r="AK310" i="1"/>
  <c r="AJ310" i="1"/>
  <c r="AI310" i="1"/>
  <c r="AH310" i="1"/>
  <c r="AG310" i="1"/>
  <c r="AF310" i="1"/>
  <c r="AE310" i="1"/>
  <c r="AD310" i="1"/>
  <c r="AC310" i="1"/>
  <c r="AB310" i="1"/>
  <c r="AA310" i="1"/>
  <c r="Z310" i="1"/>
  <c r="Y310" i="1"/>
  <c r="X310" i="1"/>
  <c r="W310" i="1"/>
  <c r="V310" i="1"/>
  <c r="U310" i="1"/>
  <c r="T310" i="1"/>
  <c r="S310" i="1"/>
  <c r="R310" i="1"/>
  <c r="Q310" i="1"/>
  <c r="P310" i="1"/>
  <c r="O310" i="1"/>
  <c r="N310" i="1"/>
  <c r="M310" i="1"/>
  <c r="L310" i="1"/>
  <c r="K310" i="1"/>
  <c r="J310" i="1"/>
  <c r="I310" i="1"/>
  <c r="H310" i="1"/>
  <c r="G310" i="1"/>
  <c r="F310" i="1"/>
  <c r="AM307" i="1"/>
  <c r="AL307" i="1"/>
  <c r="AK307" i="1"/>
  <c r="AJ307" i="1"/>
  <c r="AI307" i="1"/>
  <c r="AH307" i="1"/>
  <c r="AG307" i="1"/>
  <c r="AF307" i="1"/>
  <c r="AE307" i="1"/>
  <c r="AD307" i="1"/>
  <c r="AC307" i="1"/>
  <c r="AB307" i="1"/>
  <c r="AA307" i="1"/>
  <c r="Z307" i="1"/>
  <c r="U307" i="1"/>
  <c r="P307" i="1"/>
  <c r="AI305" i="1"/>
  <c r="AD305" i="1"/>
  <c r="AI304" i="1"/>
  <c r="AD304" i="1"/>
  <c r="AM303" i="1"/>
  <c r="AM306" i="1" s="1"/>
  <c r="AL303" i="1"/>
  <c r="AL306" i="1" s="1"/>
  <c r="AK303" i="1"/>
  <c r="AK306" i="1" s="1"/>
  <c r="AJ303" i="1"/>
  <c r="AJ306" i="1" s="1"/>
  <c r="AI303" i="1"/>
  <c r="AI306" i="1" s="1"/>
  <c r="AH303" i="1"/>
  <c r="AH306" i="1" s="1"/>
  <c r="AG303" i="1"/>
  <c r="AG306" i="1" s="1"/>
  <c r="AF303" i="1"/>
  <c r="AF306" i="1" s="1"/>
  <c r="AE303" i="1"/>
  <c r="AE306" i="1" s="1"/>
  <c r="AD303" i="1"/>
  <c r="AD306" i="1" s="1"/>
  <c r="AC303" i="1"/>
  <c r="AC306" i="1" s="1"/>
  <c r="AB303" i="1"/>
  <c r="AB306" i="1" s="1"/>
  <c r="AA303" i="1"/>
  <c r="AA306" i="1" s="1"/>
  <c r="Z303" i="1"/>
  <c r="Z306" i="1" s="1"/>
  <c r="U303" i="1"/>
  <c r="U306" i="1" s="1"/>
  <c r="P303" i="1"/>
  <c r="P306" i="1" s="1"/>
  <c r="AM301" i="1"/>
  <c r="AL301" i="1"/>
  <c r="AK301" i="1"/>
  <c r="AJ301" i="1"/>
  <c r="AI301" i="1"/>
  <c r="AH301" i="1"/>
  <c r="AG301" i="1"/>
  <c r="AF301" i="1"/>
  <c r="AE301" i="1"/>
  <c r="AD301" i="1"/>
  <c r="AC301" i="1"/>
  <c r="AB301" i="1"/>
  <c r="AA301" i="1"/>
  <c r="Z301" i="1"/>
  <c r="U301" i="1"/>
  <c r="P301" i="1"/>
  <c r="AI299" i="1"/>
  <c r="AD299" i="1"/>
  <c r="AI297" i="1"/>
  <c r="AD297" i="1"/>
  <c r="AM296" i="1"/>
  <c r="AM300" i="1" s="1"/>
  <c r="AL296" i="1"/>
  <c r="AL300" i="1" s="1"/>
  <c r="AK296" i="1"/>
  <c r="AK300" i="1" s="1"/>
  <c r="AJ296" i="1"/>
  <c r="AJ300" i="1" s="1"/>
  <c r="AI296" i="1"/>
  <c r="AI300" i="1" s="1"/>
  <c r="AH296" i="1"/>
  <c r="AH300" i="1" s="1"/>
  <c r="AG296" i="1"/>
  <c r="AG300" i="1" s="1"/>
  <c r="AF296" i="1"/>
  <c r="AF300" i="1" s="1"/>
  <c r="AE296" i="1"/>
  <c r="AE300" i="1" s="1"/>
  <c r="AD296" i="1"/>
  <c r="AD300" i="1" s="1"/>
  <c r="AC296" i="1"/>
  <c r="AC300" i="1" s="1"/>
  <c r="AB296" i="1"/>
  <c r="AB300" i="1" s="1"/>
  <c r="AA296" i="1"/>
  <c r="AA300" i="1" s="1"/>
  <c r="Z296" i="1"/>
  <c r="Z300" i="1" s="1"/>
  <c r="U296" i="1"/>
  <c r="U300" i="1" s="1"/>
  <c r="P296" i="1"/>
  <c r="P300" i="1" s="1"/>
  <c r="AW294" i="1"/>
  <c r="AV294" i="1"/>
  <c r="AV293" i="1" s="1"/>
  <c r="AU294" i="1"/>
  <c r="AT294" i="1"/>
  <c r="AT293" i="1" s="1"/>
  <c r="AR294" i="1"/>
  <c r="AQ294" i="1"/>
  <c r="AQ293" i="1" s="1"/>
  <c r="AP294" i="1"/>
  <c r="AO294" i="1"/>
  <c r="AN294" i="1"/>
  <c r="AM294" i="1"/>
  <c r="AM293" i="1" s="1"/>
  <c r="AL294" i="1"/>
  <c r="AK294" i="1"/>
  <c r="AJ294" i="1"/>
  <c r="AW293" i="1"/>
  <c r="AR293" i="1"/>
  <c r="AN293" i="1"/>
  <c r="AJ293" i="1"/>
  <c r="AN292" i="1"/>
  <c r="AN291" i="1"/>
  <c r="AW290" i="1"/>
  <c r="AV290" i="1"/>
  <c r="AU290" i="1"/>
  <c r="AU293" i="1" s="1"/>
  <c r="AT290" i="1"/>
  <c r="AR290" i="1"/>
  <c r="AQ290" i="1"/>
  <c r="AP290" i="1"/>
  <c r="AP293" i="1" s="1"/>
  <c r="AO290" i="1"/>
  <c r="AO293" i="1" s="1"/>
  <c r="AN290" i="1"/>
  <c r="AM290" i="1"/>
  <c r="AL290" i="1"/>
  <c r="AL293" i="1" s="1"/>
  <c r="AK290" i="1"/>
  <c r="AK293" i="1" s="1"/>
  <c r="AJ290" i="1"/>
  <c r="AW288" i="1"/>
  <c r="AW287" i="1" s="1"/>
  <c r="AV288" i="1"/>
  <c r="AU288" i="1"/>
  <c r="AT288" i="1"/>
  <c r="AR288" i="1"/>
  <c r="AR287" i="1" s="1"/>
  <c r="AQ288" i="1"/>
  <c r="AP288" i="1"/>
  <c r="AO288" i="1"/>
  <c r="AN288" i="1"/>
  <c r="AN287" i="1" s="1"/>
  <c r="AM288" i="1"/>
  <c r="AL288" i="1"/>
  <c r="AK288" i="1"/>
  <c r="AJ288" i="1"/>
  <c r="AJ287" i="1" s="1"/>
  <c r="AN286" i="1"/>
  <c r="AN285" i="1"/>
  <c r="AW284" i="1"/>
  <c r="AV284" i="1"/>
  <c r="AV287" i="1" s="1"/>
  <c r="AU284" i="1"/>
  <c r="AU287" i="1" s="1"/>
  <c r="AT284" i="1"/>
  <c r="AT287" i="1" s="1"/>
  <c r="AR284" i="1"/>
  <c r="AQ284" i="1"/>
  <c r="AQ287" i="1" s="1"/>
  <c r="AP284" i="1"/>
  <c r="AP287" i="1" s="1"/>
  <c r="AO284" i="1"/>
  <c r="AO287" i="1" s="1"/>
  <c r="AN284" i="1"/>
  <c r="AM284" i="1"/>
  <c r="AM287" i="1" s="1"/>
  <c r="AL284" i="1"/>
  <c r="AL287" i="1" s="1"/>
  <c r="AK284" i="1"/>
  <c r="AK287" i="1" s="1"/>
  <c r="AJ284" i="1"/>
  <c r="AW282" i="1"/>
  <c r="AV282" i="1"/>
  <c r="AU282" i="1"/>
  <c r="AT282" i="1"/>
  <c r="AR282" i="1"/>
  <c r="AQ282" i="1"/>
  <c r="AP282" i="1"/>
  <c r="AO282" i="1"/>
  <c r="AW278" i="1"/>
  <c r="AW281" i="1" s="1"/>
  <c r="AV278" i="1"/>
  <c r="AV281" i="1" s="1"/>
  <c r="AU278" i="1"/>
  <c r="AU281" i="1" s="1"/>
  <c r="AT278" i="1"/>
  <c r="AT281" i="1" s="1"/>
  <c r="AR278" i="1"/>
  <c r="AR281" i="1" s="1"/>
  <c r="AQ278" i="1"/>
  <c r="AQ281" i="1" s="1"/>
  <c r="AP278" i="1"/>
  <c r="AP281" i="1" s="1"/>
  <c r="AO278" i="1"/>
  <c r="AO281" i="1" s="1"/>
  <c r="AW276" i="1"/>
  <c r="AV276" i="1"/>
  <c r="AU276" i="1"/>
  <c r="AT276" i="1"/>
  <c r="AR276" i="1"/>
  <c r="AQ276" i="1"/>
  <c r="AP276" i="1"/>
  <c r="AO276" i="1"/>
  <c r="AW269" i="1"/>
  <c r="AW275" i="1" s="1"/>
  <c r="AV269" i="1"/>
  <c r="AV275" i="1" s="1"/>
  <c r="AU269" i="1"/>
  <c r="AU275" i="1" s="1"/>
  <c r="AT269" i="1"/>
  <c r="AT275" i="1" s="1"/>
  <c r="AR269" i="1"/>
  <c r="AR275" i="1" s="1"/>
  <c r="AQ269" i="1"/>
  <c r="AQ275" i="1" s="1"/>
  <c r="AP269" i="1"/>
  <c r="AP275" i="1" s="1"/>
  <c r="AW266" i="1"/>
  <c r="AV262" i="1"/>
  <c r="AV266" i="1" s="1"/>
  <c r="AJ253" i="1"/>
  <c r="AE253" i="1"/>
  <c r="AC253" i="1"/>
  <c r="AB253" i="1"/>
  <c r="AA253" i="1"/>
  <c r="Z253" i="1"/>
  <c r="Y253" i="1"/>
  <c r="X253" i="1"/>
  <c r="W253" i="1"/>
  <c r="V253" i="1"/>
  <c r="U253" i="1"/>
  <c r="T253" i="1"/>
  <c r="S253" i="1"/>
  <c r="R253" i="1"/>
  <c r="Q253" i="1"/>
  <c r="P253" i="1"/>
  <c r="O253" i="1"/>
  <c r="N253" i="1"/>
  <c r="M253" i="1"/>
  <c r="L253" i="1"/>
  <c r="K253" i="1"/>
  <c r="J253" i="1"/>
  <c r="I253" i="1"/>
  <c r="H253" i="1"/>
  <c r="G253" i="1"/>
  <c r="F253" i="1"/>
  <c r="E253" i="1"/>
  <c r="D253" i="1"/>
  <c r="C253" i="1"/>
  <c r="AI252" i="1"/>
  <c r="AD252" i="1"/>
  <c r="AW251" i="1"/>
  <c r="AW253" i="1" s="1"/>
  <c r="AV251" i="1"/>
  <c r="AV253" i="1" s="1"/>
  <c r="AU251" i="1"/>
  <c r="AU253" i="1" s="1"/>
  <c r="AT251" i="1"/>
  <c r="AT253" i="1" s="1"/>
  <c r="AR251" i="1"/>
  <c r="AR253" i="1" s="1"/>
  <c r="AQ251" i="1"/>
  <c r="AQ253" i="1" s="1"/>
  <c r="AP251" i="1"/>
  <c r="AP253" i="1" s="1"/>
  <c r="AO251" i="1"/>
  <c r="AO253" i="1" s="1"/>
  <c r="AM251" i="1"/>
  <c r="AM253" i="1" s="1"/>
  <c r="AL251" i="1"/>
  <c r="AL253" i="1" s="1"/>
  <c r="AK251" i="1"/>
  <c r="AK253" i="1" s="1"/>
  <c r="AH251" i="1"/>
  <c r="AI251" i="1" s="1"/>
  <c r="AI253" i="1" s="1"/>
  <c r="AG251" i="1"/>
  <c r="AG253" i="1" s="1"/>
  <c r="AF251" i="1"/>
  <c r="AF253" i="1" s="1"/>
  <c r="AD251" i="1"/>
  <c r="AD253" i="1" s="1"/>
  <c r="AS250" i="1"/>
  <c r="AN250" i="1"/>
  <c r="AJ250" i="1"/>
  <c r="AI250" i="1"/>
  <c r="AS249" i="1"/>
  <c r="AS251" i="1" s="1"/>
  <c r="AS253" i="1" s="1"/>
  <c r="AN249" i="1"/>
  <c r="AN251" i="1" s="1"/>
  <c r="AN253" i="1" s="1"/>
  <c r="AI249" i="1"/>
  <c r="AW245" i="1"/>
  <c r="AW247" i="1" s="1"/>
  <c r="AV245" i="1"/>
  <c r="AV247" i="1" s="1"/>
  <c r="AU245" i="1"/>
  <c r="AU247" i="1" s="1"/>
  <c r="AT245" i="1"/>
  <c r="AT247" i="1" s="1"/>
  <c r="AS245" i="1"/>
  <c r="AS247" i="1" s="1"/>
  <c r="AR245" i="1"/>
  <c r="AR247" i="1" s="1"/>
  <c r="AQ245" i="1"/>
  <c r="AQ247" i="1" s="1"/>
  <c r="AP245" i="1"/>
  <c r="AP247" i="1" s="1"/>
  <c r="AO245" i="1"/>
  <c r="AO247" i="1" s="1"/>
  <c r="AM245" i="1"/>
  <c r="AM247" i="1" s="1"/>
  <c r="AL245" i="1"/>
  <c r="AL247" i="1" s="1"/>
  <c r="AK245" i="1"/>
  <c r="AK247" i="1" s="1"/>
  <c r="AJ245" i="1"/>
  <c r="AJ247" i="1" s="1"/>
  <c r="AI245" i="1"/>
  <c r="AI247" i="1" s="1"/>
  <c r="AH245" i="1"/>
  <c r="AH247" i="1" s="1"/>
  <c r="AG245" i="1"/>
  <c r="AG247" i="1" s="1"/>
  <c r="AF245" i="1"/>
  <c r="AF247" i="1" s="1"/>
  <c r="AE245" i="1"/>
  <c r="AE247" i="1" s="1"/>
  <c r="AD245" i="1"/>
  <c r="AD247" i="1" s="1"/>
  <c r="AC245" i="1"/>
  <c r="AC247" i="1" s="1"/>
  <c r="AB245" i="1"/>
  <c r="AB247" i="1" s="1"/>
  <c r="AA245" i="1"/>
  <c r="AA247" i="1" s="1"/>
  <c r="Z245" i="1"/>
  <c r="Z247" i="1" s="1"/>
  <c r="Y245" i="1"/>
  <c r="Y247" i="1" s="1"/>
  <c r="X245" i="1"/>
  <c r="X247" i="1" s="1"/>
  <c r="W245" i="1"/>
  <c r="W247" i="1" s="1"/>
  <c r="V245" i="1"/>
  <c r="V247" i="1" s="1"/>
  <c r="U245" i="1"/>
  <c r="U247" i="1" s="1"/>
  <c r="T245" i="1"/>
  <c r="T247" i="1" s="1"/>
  <c r="S245" i="1"/>
  <c r="S247" i="1" s="1"/>
  <c r="R245" i="1"/>
  <c r="R247" i="1" s="1"/>
  <c r="Q245" i="1"/>
  <c r="Q247" i="1" s="1"/>
  <c r="P245" i="1"/>
  <c r="P247" i="1" s="1"/>
  <c r="O245" i="1"/>
  <c r="O247" i="1" s="1"/>
  <c r="N245" i="1"/>
  <c r="N247" i="1" s="1"/>
  <c r="M245" i="1"/>
  <c r="M247" i="1" s="1"/>
  <c r="L245" i="1"/>
  <c r="L247" i="1" s="1"/>
  <c r="K245" i="1"/>
  <c r="K247" i="1" s="1"/>
  <c r="J245" i="1"/>
  <c r="J247" i="1" s="1"/>
  <c r="I245" i="1"/>
  <c r="I247" i="1" s="1"/>
  <c r="H245" i="1"/>
  <c r="H247" i="1" s="1"/>
  <c r="G245" i="1"/>
  <c r="G247" i="1" s="1"/>
  <c r="F245" i="1"/>
  <c r="F247" i="1" s="1"/>
  <c r="E245" i="1"/>
  <c r="E247" i="1" s="1"/>
  <c r="D245" i="1"/>
  <c r="D247" i="1" s="1"/>
  <c r="C245" i="1"/>
  <c r="AW243" i="1"/>
  <c r="AV243" i="1"/>
  <c r="AU243" i="1"/>
  <c r="AT243" i="1"/>
  <c r="AS243" i="1"/>
  <c r="AR243" i="1"/>
  <c r="AQ243" i="1"/>
  <c r="AP243" i="1"/>
  <c r="AO243" i="1"/>
  <c r="AN243" i="1"/>
  <c r="AM243" i="1"/>
  <c r="AL243" i="1"/>
  <c r="AK243" i="1"/>
  <c r="AJ243" i="1"/>
  <c r="AI243" i="1"/>
  <c r="AH243" i="1"/>
  <c r="AG243" i="1"/>
  <c r="AF243" i="1"/>
  <c r="AE243" i="1"/>
  <c r="AD243" i="1"/>
  <c r="AC243" i="1"/>
  <c r="AB243" i="1"/>
  <c r="AA243" i="1"/>
  <c r="Z243" i="1"/>
  <c r="Y243" i="1"/>
  <c r="X243" i="1"/>
  <c r="W243" i="1"/>
  <c r="V243" i="1"/>
  <c r="U243" i="1"/>
  <c r="T243" i="1"/>
  <c r="S243" i="1"/>
  <c r="R243" i="1"/>
  <c r="Q243" i="1"/>
  <c r="P243" i="1"/>
  <c r="O243" i="1"/>
  <c r="N243" i="1"/>
  <c r="M243" i="1"/>
  <c r="L243" i="1"/>
  <c r="K243" i="1"/>
  <c r="J243" i="1"/>
  <c r="I243" i="1"/>
  <c r="H243" i="1"/>
  <c r="G243" i="1"/>
  <c r="F243" i="1"/>
  <c r="E243" i="1"/>
  <c r="D243" i="1"/>
  <c r="C243" i="1"/>
  <c r="BG242" i="1"/>
  <c r="BF242" i="1"/>
  <c r="BE242" i="1"/>
  <c r="BC242" i="1"/>
  <c r="BB242" i="1"/>
  <c r="BA242" i="1"/>
  <c r="AZ242" i="1"/>
  <c r="BD242" i="1" s="1"/>
  <c r="AX242" i="1"/>
  <c r="AW242" i="1"/>
  <c r="AV242" i="1"/>
  <c r="AU242" i="1"/>
  <c r="AY242" i="1" s="1"/>
  <c r="AT242" i="1"/>
  <c r="AS242" i="1"/>
  <c r="AR242" i="1"/>
  <c r="AQ242" i="1"/>
  <c r="AP242" i="1"/>
  <c r="AO242" i="1"/>
  <c r="AN242" i="1"/>
  <c r="AM242" i="1"/>
  <c r="AL242" i="1"/>
  <c r="AK242" i="1"/>
  <c r="AJ242" i="1"/>
  <c r="AI242" i="1"/>
  <c r="AH242" i="1"/>
  <c r="AG242" i="1"/>
  <c r="AF242" i="1"/>
  <c r="AE242" i="1"/>
  <c r="AD242" i="1"/>
  <c r="AC242" i="1"/>
  <c r="AB242" i="1"/>
  <c r="AA242" i="1"/>
  <c r="Z242" i="1"/>
  <c r="Y242" i="1"/>
  <c r="X242" i="1"/>
  <c r="W242" i="1"/>
  <c r="V242" i="1"/>
  <c r="U242" i="1"/>
  <c r="T242" i="1"/>
  <c r="S242" i="1"/>
  <c r="R242" i="1"/>
  <c r="Q242" i="1"/>
  <c r="P242" i="1"/>
  <c r="O242" i="1"/>
  <c r="N242" i="1"/>
  <c r="M242" i="1"/>
  <c r="L242" i="1"/>
  <c r="K242" i="1"/>
  <c r="J242" i="1"/>
  <c r="I242" i="1"/>
  <c r="H242" i="1"/>
  <c r="G242" i="1"/>
  <c r="F242" i="1"/>
  <c r="E242" i="1"/>
  <c r="D242" i="1"/>
  <c r="C242" i="1"/>
  <c r="AY241" i="1"/>
  <c r="AX241" i="1"/>
  <c r="AW241" i="1"/>
  <c r="AW244" i="1" s="1"/>
  <c r="AV241" i="1"/>
  <c r="AV244" i="1" s="1"/>
  <c r="AU241" i="1"/>
  <c r="AU244" i="1" s="1"/>
  <c r="AT241" i="1"/>
  <c r="AT244" i="1" s="1"/>
  <c r="AS241" i="1"/>
  <c r="AS244" i="1" s="1"/>
  <c r="AR241" i="1"/>
  <c r="AR244" i="1" s="1"/>
  <c r="AQ241" i="1"/>
  <c r="AQ244" i="1" s="1"/>
  <c r="AP241" i="1"/>
  <c r="AP244" i="1" s="1"/>
  <c r="AO241" i="1"/>
  <c r="AO244" i="1" s="1"/>
  <c r="AN241" i="1"/>
  <c r="AM241" i="1"/>
  <c r="AM244" i="1" s="1"/>
  <c r="AL241" i="1"/>
  <c r="AL244" i="1" s="1"/>
  <c r="AK241" i="1"/>
  <c r="AK244" i="1" s="1"/>
  <c r="AJ241" i="1"/>
  <c r="AJ244" i="1" s="1"/>
  <c r="AI241" i="1"/>
  <c r="AI244" i="1" s="1"/>
  <c r="AH241" i="1"/>
  <c r="AH244" i="1" s="1"/>
  <c r="AG241" i="1"/>
  <c r="AG244" i="1" s="1"/>
  <c r="AF241" i="1"/>
  <c r="AF244" i="1" s="1"/>
  <c r="AE241" i="1"/>
  <c r="AE244" i="1" s="1"/>
  <c r="AD241" i="1"/>
  <c r="AD244" i="1" s="1"/>
  <c r="AC241" i="1"/>
  <c r="AC244" i="1" s="1"/>
  <c r="AB241" i="1"/>
  <c r="AB244" i="1" s="1"/>
  <c r="AA241" i="1"/>
  <c r="AA244" i="1" s="1"/>
  <c r="Z241" i="1"/>
  <c r="Z244" i="1" s="1"/>
  <c r="Y241" i="1"/>
  <c r="Y244" i="1" s="1"/>
  <c r="X241" i="1"/>
  <c r="X244" i="1" s="1"/>
  <c r="W241" i="1"/>
  <c r="W244" i="1" s="1"/>
  <c r="V241" i="1"/>
  <c r="V244" i="1" s="1"/>
  <c r="U241" i="1"/>
  <c r="U244" i="1" s="1"/>
  <c r="T241" i="1"/>
  <c r="T244" i="1" s="1"/>
  <c r="S241" i="1"/>
  <c r="S244" i="1" s="1"/>
  <c r="R241" i="1"/>
  <c r="R244" i="1" s="1"/>
  <c r="Q241" i="1"/>
  <c r="Q244" i="1" s="1"/>
  <c r="P241" i="1"/>
  <c r="P244" i="1" s="1"/>
  <c r="O241" i="1"/>
  <c r="O244" i="1" s="1"/>
  <c r="N241" i="1"/>
  <c r="N244" i="1" s="1"/>
  <c r="M241" i="1"/>
  <c r="M244" i="1" s="1"/>
  <c r="L241" i="1"/>
  <c r="L244" i="1" s="1"/>
  <c r="K241" i="1"/>
  <c r="K244" i="1" s="1"/>
  <c r="J241" i="1"/>
  <c r="J244" i="1" s="1"/>
  <c r="I241" i="1"/>
  <c r="I244" i="1" s="1"/>
  <c r="H241" i="1"/>
  <c r="H244" i="1" s="1"/>
  <c r="G241" i="1"/>
  <c r="G244" i="1" s="1"/>
  <c r="F241" i="1"/>
  <c r="F244" i="1" s="1"/>
  <c r="E241" i="1"/>
  <c r="E244" i="1" s="1"/>
  <c r="D241" i="1"/>
  <c r="D244" i="1" s="1"/>
  <c r="AW230" i="1"/>
  <c r="AW231" i="1" s="1"/>
  <c r="AV230" i="1"/>
  <c r="AV232" i="1" s="1"/>
  <c r="BA232" i="1" s="1"/>
  <c r="AU230" i="1"/>
  <c r="AU231" i="1" s="1"/>
  <c r="AT230" i="1"/>
  <c r="AT231" i="1" s="1"/>
  <c r="AS230" i="1"/>
  <c r="AS231" i="1" s="1"/>
  <c r="AR230" i="1"/>
  <c r="AR232" i="1" s="1"/>
  <c r="AQ230" i="1"/>
  <c r="AQ231" i="1" s="1"/>
  <c r="AP230" i="1"/>
  <c r="AP231" i="1" s="1"/>
  <c r="AO230" i="1"/>
  <c r="AO231" i="1" s="1"/>
  <c r="AN230" i="1"/>
  <c r="AN232" i="1" s="1"/>
  <c r="AM230" i="1"/>
  <c r="AM231" i="1" s="1"/>
  <c r="AL230" i="1"/>
  <c r="AL231" i="1" s="1"/>
  <c r="AK230" i="1"/>
  <c r="AK231" i="1" s="1"/>
  <c r="AJ230" i="1"/>
  <c r="AJ232" i="1" s="1"/>
  <c r="AI230" i="1"/>
  <c r="AI231" i="1" s="1"/>
  <c r="AH230" i="1"/>
  <c r="AH231" i="1" s="1"/>
  <c r="AG230" i="1"/>
  <c r="AG231" i="1" s="1"/>
  <c r="AF230" i="1"/>
  <c r="AF232" i="1" s="1"/>
  <c r="AE230" i="1"/>
  <c r="AE231" i="1" s="1"/>
  <c r="AD230" i="1"/>
  <c r="AD231" i="1" s="1"/>
  <c r="AC230" i="1"/>
  <c r="AC231" i="1" s="1"/>
  <c r="AB230" i="1"/>
  <c r="AB232" i="1" s="1"/>
  <c r="AA230" i="1"/>
  <c r="AA231" i="1" s="1"/>
  <c r="Z230" i="1"/>
  <c r="Z231" i="1" s="1"/>
  <c r="Y230" i="1"/>
  <c r="Y231" i="1" s="1"/>
  <c r="X230" i="1"/>
  <c r="X232" i="1" s="1"/>
  <c r="W230" i="1"/>
  <c r="W231" i="1" s="1"/>
  <c r="V230" i="1"/>
  <c r="V231" i="1" s="1"/>
  <c r="U230" i="1"/>
  <c r="U231" i="1" s="1"/>
  <c r="T230" i="1"/>
  <c r="T232" i="1" s="1"/>
  <c r="S230" i="1"/>
  <c r="S231" i="1" s="1"/>
  <c r="R230" i="1"/>
  <c r="R231" i="1" s="1"/>
  <c r="Q230" i="1"/>
  <c r="Q231" i="1" s="1"/>
  <c r="P230" i="1"/>
  <c r="O230" i="1"/>
  <c r="O231" i="1" s="1"/>
  <c r="N230" i="1"/>
  <c r="N231" i="1" s="1"/>
  <c r="M230" i="1"/>
  <c r="M231" i="1" s="1"/>
  <c r="L230" i="1"/>
  <c r="K230" i="1"/>
  <c r="K231" i="1" s="1"/>
  <c r="J230" i="1"/>
  <c r="J232" i="1" s="1"/>
  <c r="I230" i="1"/>
  <c r="H230" i="1"/>
  <c r="G230" i="1"/>
  <c r="F230" i="1"/>
  <c r="F231" i="1" s="1"/>
  <c r="E230" i="1"/>
  <c r="E231" i="1" s="1"/>
  <c r="D230" i="1"/>
  <c r="C230" i="1"/>
  <c r="AW225" i="1"/>
  <c r="AW226" i="1" s="1"/>
  <c r="AV225" i="1"/>
  <c r="AV226" i="1" s="1"/>
  <c r="AU225" i="1"/>
  <c r="AU226" i="1" s="1"/>
  <c r="AT225" i="1"/>
  <c r="AT227" i="1" s="1"/>
  <c r="AS225" i="1"/>
  <c r="AS226" i="1" s="1"/>
  <c r="AR225" i="1"/>
  <c r="AR226" i="1" s="1"/>
  <c r="AQ225" i="1"/>
  <c r="AQ226" i="1" s="1"/>
  <c r="AP225" i="1"/>
  <c r="AP227" i="1" s="1"/>
  <c r="AO225" i="1"/>
  <c r="AO226" i="1" s="1"/>
  <c r="AN225" i="1"/>
  <c r="AN226" i="1" s="1"/>
  <c r="AM225" i="1"/>
  <c r="AM226" i="1" s="1"/>
  <c r="AL225" i="1"/>
  <c r="AL227" i="1" s="1"/>
  <c r="AK225" i="1"/>
  <c r="AK226" i="1" s="1"/>
  <c r="AJ225" i="1"/>
  <c r="AJ226" i="1" s="1"/>
  <c r="AI225" i="1"/>
  <c r="AI226" i="1" s="1"/>
  <c r="AH225" i="1"/>
  <c r="AH227" i="1" s="1"/>
  <c r="AG225" i="1"/>
  <c r="AG226" i="1" s="1"/>
  <c r="AF225" i="1"/>
  <c r="AF226" i="1" s="1"/>
  <c r="AE225" i="1"/>
  <c r="AE226" i="1" s="1"/>
  <c r="AD225" i="1"/>
  <c r="AD227" i="1" s="1"/>
  <c r="AC225" i="1"/>
  <c r="AC226" i="1" s="1"/>
  <c r="AB225" i="1"/>
  <c r="AB226" i="1" s="1"/>
  <c r="AA225" i="1"/>
  <c r="AA226" i="1" s="1"/>
  <c r="Z225" i="1"/>
  <c r="Z227" i="1" s="1"/>
  <c r="Y225" i="1"/>
  <c r="Y226" i="1" s="1"/>
  <c r="X225" i="1"/>
  <c r="X226" i="1" s="1"/>
  <c r="W225" i="1"/>
  <c r="W226" i="1" s="1"/>
  <c r="V225" i="1"/>
  <c r="V227" i="1" s="1"/>
  <c r="U225" i="1"/>
  <c r="U226" i="1" s="1"/>
  <c r="T225" i="1"/>
  <c r="T226" i="1" s="1"/>
  <c r="S225" i="1"/>
  <c r="S226" i="1" s="1"/>
  <c r="R225" i="1"/>
  <c r="R227" i="1" s="1"/>
  <c r="Q225" i="1"/>
  <c r="Q226" i="1" s="1"/>
  <c r="P225" i="1"/>
  <c r="P226" i="1" s="1"/>
  <c r="O225" i="1"/>
  <c r="O226" i="1" s="1"/>
  <c r="N225" i="1"/>
  <c r="N227" i="1" s="1"/>
  <c r="M225" i="1"/>
  <c r="M226" i="1" s="1"/>
  <c r="L225" i="1"/>
  <c r="L226" i="1" s="1"/>
  <c r="K225" i="1"/>
  <c r="K226" i="1" s="1"/>
  <c r="J225" i="1"/>
  <c r="J227" i="1" s="1"/>
  <c r="I225" i="1"/>
  <c r="H225" i="1"/>
  <c r="G225" i="1"/>
  <c r="F225" i="1"/>
  <c r="F227" i="1" s="1"/>
  <c r="E225" i="1"/>
  <c r="E226" i="1" s="1"/>
  <c r="D225" i="1"/>
  <c r="D226" i="1" s="1"/>
  <c r="C225" i="1"/>
  <c r="AW220" i="1"/>
  <c r="AW221" i="1" s="1"/>
  <c r="AV220" i="1"/>
  <c r="AV221" i="1" s="1"/>
  <c r="AU220" i="1"/>
  <c r="AU221" i="1" s="1"/>
  <c r="AT220" i="1"/>
  <c r="AT222" i="1" s="1"/>
  <c r="AS220" i="1"/>
  <c r="AS221" i="1" s="1"/>
  <c r="AR220" i="1"/>
  <c r="AR221" i="1" s="1"/>
  <c r="AQ220" i="1"/>
  <c r="AQ221" i="1" s="1"/>
  <c r="AP220" i="1"/>
  <c r="AP222" i="1" s="1"/>
  <c r="AO220" i="1"/>
  <c r="AO221" i="1" s="1"/>
  <c r="AN220" i="1"/>
  <c r="AN221" i="1" s="1"/>
  <c r="AM220" i="1"/>
  <c r="AM221" i="1" s="1"/>
  <c r="AL220" i="1"/>
  <c r="AL222" i="1" s="1"/>
  <c r="AK220" i="1"/>
  <c r="AK221" i="1" s="1"/>
  <c r="AJ220" i="1"/>
  <c r="AJ221" i="1" s="1"/>
  <c r="AI220" i="1"/>
  <c r="AI221" i="1" s="1"/>
  <c r="AH220" i="1"/>
  <c r="AH222" i="1" s="1"/>
  <c r="AG220" i="1"/>
  <c r="AG221" i="1" s="1"/>
  <c r="AF220" i="1"/>
  <c r="AF221" i="1" s="1"/>
  <c r="AE220" i="1"/>
  <c r="AE221" i="1" s="1"/>
  <c r="AD220" i="1"/>
  <c r="AD222" i="1" s="1"/>
  <c r="AC220" i="1"/>
  <c r="AC221" i="1" s="1"/>
  <c r="AB220" i="1"/>
  <c r="AB221" i="1" s="1"/>
  <c r="AA220" i="1"/>
  <c r="AA221" i="1" s="1"/>
  <c r="Z220" i="1"/>
  <c r="Z222" i="1" s="1"/>
  <c r="Y220" i="1"/>
  <c r="Y221" i="1" s="1"/>
  <c r="X220" i="1"/>
  <c r="X221" i="1" s="1"/>
  <c r="W220" i="1"/>
  <c r="W221" i="1" s="1"/>
  <c r="V220" i="1"/>
  <c r="V222" i="1" s="1"/>
  <c r="U220" i="1"/>
  <c r="U221" i="1" s="1"/>
  <c r="T220" i="1"/>
  <c r="T221" i="1" s="1"/>
  <c r="S220" i="1"/>
  <c r="S221" i="1" s="1"/>
  <c r="R220" i="1"/>
  <c r="R222" i="1" s="1"/>
  <c r="Q220" i="1"/>
  <c r="Q221" i="1" s="1"/>
  <c r="P220" i="1"/>
  <c r="P221" i="1" s="1"/>
  <c r="O220" i="1"/>
  <c r="O221" i="1" s="1"/>
  <c r="N220" i="1"/>
  <c r="N222" i="1" s="1"/>
  <c r="M220" i="1"/>
  <c r="M221" i="1" s="1"/>
  <c r="L220" i="1"/>
  <c r="L221" i="1" s="1"/>
  <c r="K220" i="1"/>
  <c r="K221" i="1" s="1"/>
  <c r="J220" i="1"/>
  <c r="J222" i="1" s="1"/>
  <c r="I220" i="1"/>
  <c r="H220" i="1"/>
  <c r="G220" i="1"/>
  <c r="F220" i="1"/>
  <c r="F222" i="1" s="1"/>
  <c r="E220" i="1"/>
  <c r="E221" i="1" s="1"/>
  <c r="D220" i="1"/>
  <c r="D221" i="1" s="1"/>
  <c r="C220" i="1"/>
  <c r="AW214" i="1"/>
  <c r="AW215" i="1" s="1"/>
  <c r="AV214" i="1"/>
  <c r="AV215" i="1" s="1"/>
  <c r="AU214" i="1"/>
  <c r="AU215" i="1" s="1"/>
  <c r="AT214" i="1"/>
  <c r="AT216" i="1" s="1"/>
  <c r="AS214" i="1"/>
  <c r="AR214" i="1"/>
  <c r="AR215" i="1" s="1"/>
  <c r="AQ214" i="1"/>
  <c r="AQ215" i="1" s="1"/>
  <c r="AP214" i="1"/>
  <c r="AP216" i="1" s="1"/>
  <c r="AO214" i="1"/>
  <c r="AO215" i="1" s="1"/>
  <c r="AM214" i="1"/>
  <c r="AM215" i="1" s="1"/>
  <c r="AL214" i="1"/>
  <c r="AL216" i="1" s="1"/>
  <c r="AK214" i="1"/>
  <c r="AK215" i="1" s="1"/>
  <c r="AJ214" i="1"/>
  <c r="AJ215" i="1" s="1"/>
  <c r="AH214" i="1"/>
  <c r="AH216" i="1" s="1"/>
  <c r="AG214" i="1"/>
  <c r="AG215" i="1" s="1"/>
  <c r="AF214" i="1"/>
  <c r="AF215" i="1" s="1"/>
  <c r="AE214" i="1"/>
  <c r="AE215" i="1" s="1"/>
  <c r="AC214" i="1"/>
  <c r="AC215" i="1" s="1"/>
  <c r="AB214" i="1"/>
  <c r="AB215" i="1" s="1"/>
  <c r="AA214" i="1"/>
  <c r="AA215" i="1" s="1"/>
  <c r="Z214" i="1"/>
  <c r="Z216" i="1" s="1"/>
  <c r="Y214" i="1"/>
  <c r="X214" i="1"/>
  <c r="X215" i="1" s="1"/>
  <c r="W214" i="1"/>
  <c r="W215" i="1" s="1"/>
  <c r="V214" i="1"/>
  <c r="V216" i="1" s="1"/>
  <c r="U214" i="1"/>
  <c r="U215" i="1" s="1"/>
  <c r="S214" i="1"/>
  <c r="S215" i="1" s="1"/>
  <c r="R214" i="1"/>
  <c r="R216" i="1" s="1"/>
  <c r="Q214" i="1"/>
  <c r="Q215" i="1" s="1"/>
  <c r="P214" i="1"/>
  <c r="P215" i="1" s="1"/>
  <c r="N214" i="1"/>
  <c r="N216" i="1" s="1"/>
  <c r="M214" i="1"/>
  <c r="M215" i="1" s="1"/>
  <c r="L214" i="1"/>
  <c r="L215" i="1" s="1"/>
  <c r="K214" i="1"/>
  <c r="K215" i="1" s="1"/>
  <c r="I214" i="1"/>
  <c r="H214" i="1"/>
  <c r="G214" i="1"/>
  <c r="F214" i="1"/>
  <c r="F216" i="1" s="1"/>
  <c r="E214" i="1"/>
  <c r="AW210" i="1"/>
  <c r="AV210" i="1"/>
  <c r="AU210" i="1"/>
  <c r="AT210" i="1"/>
  <c r="AS210" i="1"/>
  <c r="AR210" i="1"/>
  <c r="AQ210" i="1"/>
  <c r="AP210" i="1"/>
  <c r="AO210" i="1"/>
  <c r="AN210" i="1"/>
  <c r="AM210" i="1"/>
  <c r="AL210" i="1"/>
  <c r="AK210" i="1"/>
  <c r="AJ210" i="1"/>
  <c r="AI210" i="1"/>
  <c r="AH210" i="1"/>
  <c r="AG210" i="1"/>
  <c r="AF210" i="1"/>
  <c r="AE210" i="1"/>
  <c r="AD210" i="1"/>
  <c r="AC210" i="1"/>
  <c r="AB210" i="1"/>
  <c r="AA210" i="1"/>
  <c r="Z210" i="1"/>
  <c r="Y210" i="1"/>
  <c r="X210" i="1"/>
  <c r="W210" i="1"/>
  <c r="V210" i="1"/>
  <c r="U210" i="1"/>
  <c r="T210" i="1"/>
  <c r="S210" i="1"/>
  <c r="R210" i="1"/>
  <c r="Q210" i="1"/>
  <c r="P210" i="1"/>
  <c r="O210" i="1"/>
  <c r="N210" i="1"/>
  <c r="M210" i="1"/>
  <c r="L210" i="1"/>
  <c r="K210" i="1"/>
  <c r="J210" i="1"/>
  <c r="I210" i="1"/>
  <c r="H210" i="1"/>
  <c r="G210" i="1"/>
  <c r="F210" i="1"/>
  <c r="E210" i="1"/>
  <c r="D210" i="1"/>
  <c r="C210" i="1"/>
  <c r="AW208" i="1"/>
  <c r="AW209" i="1" s="1"/>
  <c r="AW211" i="1" s="1"/>
  <c r="AV208" i="1"/>
  <c r="AV209" i="1" s="1"/>
  <c r="AV211" i="1" s="1"/>
  <c r="AU208" i="1"/>
  <c r="AT208" i="1"/>
  <c r="AT209" i="1" s="1"/>
  <c r="AT211" i="1" s="1"/>
  <c r="AS208" i="1"/>
  <c r="AS209" i="1" s="1"/>
  <c r="AS211" i="1" s="1"/>
  <c r="AR208" i="1"/>
  <c r="AR209" i="1" s="1"/>
  <c r="AR211" i="1" s="1"/>
  <c r="AQ208" i="1"/>
  <c r="AQ209" i="1" s="1"/>
  <c r="AQ211" i="1" s="1"/>
  <c r="AP208" i="1"/>
  <c r="AP209" i="1" s="1"/>
  <c r="AP211" i="1" s="1"/>
  <c r="AO208" i="1"/>
  <c r="AO209" i="1" s="1"/>
  <c r="AO211" i="1" s="1"/>
  <c r="AN208" i="1"/>
  <c r="AN209" i="1" s="1"/>
  <c r="AN211" i="1" s="1"/>
  <c r="AM208" i="1"/>
  <c r="AM209" i="1" s="1"/>
  <c r="AM211" i="1" s="1"/>
  <c r="AL208" i="1"/>
  <c r="AL209" i="1" s="1"/>
  <c r="AL211" i="1" s="1"/>
  <c r="AK208" i="1"/>
  <c r="AK209" i="1" s="1"/>
  <c r="AK211" i="1" s="1"/>
  <c r="AJ208" i="1"/>
  <c r="AJ209" i="1" s="1"/>
  <c r="AJ211" i="1" s="1"/>
  <c r="AI208" i="1"/>
  <c r="AI209" i="1" s="1"/>
  <c r="AI211" i="1" s="1"/>
  <c r="AH208" i="1"/>
  <c r="AH209" i="1" s="1"/>
  <c r="AH211" i="1" s="1"/>
  <c r="AG208" i="1"/>
  <c r="AG209" i="1" s="1"/>
  <c r="AG211" i="1" s="1"/>
  <c r="AF208" i="1"/>
  <c r="AF209" i="1" s="1"/>
  <c r="AF211" i="1" s="1"/>
  <c r="AE208" i="1"/>
  <c r="AE209" i="1" s="1"/>
  <c r="AE211" i="1" s="1"/>
  <c r="AD208" i="1"/>
  <c r="AD209" i="1" s="1"/>
  <c r="AD211" i="1" s="1"/>
  <c r="AC208" i="1"/>
  <c r="AC209" i="1" s="1"/>
  <c r="AC211" i="1" s="1"/>
  <c r="AB208" i="1"/>
  <c r="AB209" i="1" s="1"/>
  <c r="AB211" i="1" s="1"/>
  <c r="AA208" i="1"/>
  <c r="AA209" i="1" s="1"/>
  <c r="AA211" i="1" s="1"/>
  <c r="Z208" i="1"/>
  <c r="Z209" i="1" s="1"/>
  <c r="Z211" i="1" s="1"/>
  <c r="Y208" i="1"/>
  <c r="Y209" i="1" s="1"/>
  <c r="X208" i="1"/>
  <c r="X209" i="1" s="1"/>
  <c r="X211" i="1" s="1"/>
  <c r="W208" i="1"/>
  <c r="W209" i="1" s="1"/>
  <c r="W211" i="1" s="1"/>
  <c r="V208" i="1"/>
  <c r="V209" i="1" s="1"/>
  <c r="V211" i="1" s="1"/>
  <c r="U208" i="1"/>
  <c r="U209" i="1" s="1"/>
  <c r="T208" i="1"/>
  <c r="T209" i="1" s="1"/>
  <c r="T211" i="1" s="1"/>
  <c r="S208" i="1"/>
  <c r="S209" i="1" s="1"/>
  <c r="S211" i="1" s="1"/>
  <c r="R208" i="1"/>
  <c r="R209" i="1" s="1"/>
  <c r="R211" i="1" s="1"/>
  <c r="Q208" i="1"/>
  <c r="Q209" i="1" s="1"/>
  <c r="P208" i="1"/>
  <c r="P209" i="1" s="1"/>
  <c r="O208" i="1"/>
  <c r="O209" i="1" s="1"/>
  <c r="O211" i="1" s="1"/>
  <c r="N208" i="1"/>
  <c r="N209" i="1" s="1"/>
  <c r="N211" i="1" s="1"/>
  <c r="M208" i="1"/>
  <c r="M209" i="1" s="1"/>
  <c r="L208" i="1"/>
  <c r="L209" i="1" s="1"/>
  <c r="K208" i="1"/>
  <c r="K209" i="1" s="1"/>
  <c r="J208" i="1"/>
  <c r="J209" i="1" s="1"/>
  <c r="J211" i="1" s="1"/>
  <c r="I208" i="1"/>
  <c r="I209" i="1" s="1"/>
  <c r="H208" i="1"/>
  <c r="H209" i="1" s="1"/>
  <c r="G208" i="1"/>
  <c r="G209" i="1" s="1"/>
  <c r="F208" i="1"/>
  <c r="F209" i="1" s="1"/>
  <c r="F211" i="1" s="1"/>
  <c r="E208" i="1"/>
  <c r="E209" i="1" s="1"/>
  <c r="D208" i="1"/>
  <c r="D209" i="1" s="1"/>
  <c r="C208" i="1"/>
  <c r="C209" i="1" s="1"/>
  <c r="AW206" i="1"/>
  <c r="AV206" i="1"/>
  <c r="AU206" i="1"/>
  <c r="AT206" i="1"/>
  <c r="AS206" i="1"/>
  <c r="AR206" i="1"/>
  <c r="AQ206" i="1"/>
  <c r="AP206" i="1"/>
  <c r="AO206" i="1"/>
  <c r="AN206" i="1"/>
  <c r="AM206" i="1"/>
  <c r="AL206" i="1"/>
  <c r="AK206" i="1"/>
  <c r="AJ206" i="1"/>
  <c r="AI206" i="1"/>
  <c r="AH206" i="1"/>
  <c r="AG206" i="1"/>
  <c r="AF206" i="1"/>
  <c r="AE206" i="1"/>
  <c r="AD206" i="1"/>
  <c r="AC206" i="1"/>
  <c r="AB206" i="1"/>
  <c r="AA206" i="1"/>
  <c r="Z206" i="1"/>
  <c r="Y206" i="1"/>
  <c r="X206" i="1"/>
  <c r="W206" i="1"/>
  <c r="V206" i="1"/>
  <c r="U206" i="1"/>
  <c r="T206" i="1"/>
  <c r="S206" i="1"/>
  <c r="R206" i="1"/>
  <c r="Q206" i="1"/>
  <c r="P206" i="1"/>
  <c r="O206" i="1"/>
  <c r="N206" i="1"/>
  <c r="M206" i="1"/>
  <c r="L206" i="1"/>
  <c r="K206" i="1"/>
  <c r="J206" i="1"/>
  <c r="I206" i="1"/>
  <c r="H206" i="1"/>
  <c r="G206" i="1"/>
  <c r="F206" i="1"/>
  <c r="E206" i="1"/>
  <c r="D206" i="1"/>
  <c r="C206" i="1"/>
  <c r="AW191" i="1"/>
  <c r="AV191" i="1"/>
  <c r="AU191" i="1"/>
  <c r="AT191" i="1"/>
  <c r="AR191" i="1"/>
  <c r="AQ191" i="1"/>
  <c r="AP191" i="1"/>
  <c r="A191" i="1"/>
  <c r="AW189" i="1"/>
  <c r="AV189" i="1"/>
  <c r="AU189" i="1"/>
  <c r="AT189" i="1"/>
  <c r="AR189" i="1"/>
  <c r="AQ189" i="1"/>
  <c r="AP189" i="1"/>
  <c r="AO189" i="1"/>
  <c r="AN189" i="1"/>
  <c r="AM189" i="1"/>
  <c r="AL189" i="1"/>
  <c r="AK189" i="1"/>
  <c r="AJ189" i="1"/>
  <c r="AI189" i="1"/>
  <c r="AH189" i="1"/>
  <c r="AG189" i="1"/>
  <c r="AF189" i="1"/>
  <c r="AE189" i="1"/>
  <c r="AD189" i="1"/>
  <c r="AC189" i="1"/>
  <c r="AB189" i="1"/>
  <c r="AA189" i="1"/>
  <c r="A189" i="1"/>
  <c r="AW188" i="1"/>
  <c r="AV188" i="1"/>
  <c r="AU188" i="1"/>
  <c r="AT188" i="1"/>
  <c r="AR188" i="1"/>
  <c r="AQ188" i="1"/>
  <c r="AP188" i="1"/>
  <c r="AO188" i="1"/>
  <c r="AN188" i="1"/>
  <c r="AM188" i="1"/>
  <c r="AL188" i="1"/>
  <c r="AK188" i="1"/>
  <c r="AJ188" i="1"/>
  <c r="AI188" i="1"/>
  <c r="AH188" i="1"/>
  <c r="AG188" i="1"/>
  <c r="AF188" i="1"/>
  <c r="AE188" i="1"/>
  <c r="AD188" i="1"/>
  <c r="AC188" i="1"/>
  <c r="AB188" i="1"/>
  <c r="AA188" i="1"/>
  <c r="A188" i="1"/>
  <c r="AW187" i="1"/>
  <c r="AV187" i="1"/>
  <c r="AU187" i="1"/>
  <c r="AT187" i="1"/>
  <c r="AR187" i="1"/>
  <c r="AQ187" i="1"/>
  <c r="AP187" i="1"/>
  <c r="AO187" i="1"/>
  <c r="AN187" i="1"/>
  <c r="AM187" i="1"/>
  <c r="AL187" i="1"/>
  <c r="AK187" i="1"/>
  <c r="AJ187" i="1"/>
  <c r="AI187" i="1"/>
  <c r="AH187" i="1"/>
  <c r="AG187" i="1"/>
  <c r="AF187" i="1"/>
  <c r="AE187" i="1"/>
  <c r="AD187" i="1"/>
  <c r="AC187" i="1"/>
  <c r="AB187" i="1"/>
  <c r="AA187" i="1"/>
  <c r="A187" i="1"/>
  <c r="AW186" i="1"/>
  <c r="AV186" i="1"/>
  <c r="AU186" i="1"/>
  <c r="AU190" i="1" s="1"/>
  <c r="AT186" i="1"/>
  <c r="AT190" i="1" s="1"/>
  <c r="AR186" i="1"/>
  <c r="AQ186" i="1"/>
  <c r="AQ190" i="1" s="1"/>
  <c r="AP186" i="1"/>
  <c r="AP190" i="1" s="1"/>
  <c r="AO186" i="1"/>
  <c r="AN186" i="1"/>
  <c r="AM186" i="1"/>
  <c r="AM190" i="1" s="1"/>
  <c r="AL186" i="1"/>
  <c r="AL190" i="1" s="1"/>
  <c r="AK186" i="1"/>
  <c r="AJ186" i="1"/>
  <c r="AI186" i="1"/>
  <c r="AI190" i="1" s="1"/>
  <c r="AH186" i="1"/>
  <c r="AH190" i="1" s="1"/>
  <c r="AG186" i="1"/>
  <c r="AF186" i="1"/>
  <c r="AE186" i="1"/>
  <c r="AE190" i="1" s="1"/>
  <c r="AD186" i="1"/>
  <c r="AD190" i="1" s="1"/>
  <c r="AC186" i="1"/>
  <c r="AB186" i="1"/>
  <c r="AA186" i="1"/>
  <c r="AA190" i="1" s="1"/>
  <c r="A186" i="1"/>
  <c r="A185" i="1"/>
  <c r="AO184" i="1"/>
  <c r="AN184" i="1"/>
  <c r="AM184" i="1"/>
  <c r="AL184" i="1"/>
  <c r="AK184" i="1"/>
  <c r="AJ184" i="1"/>
  <c r="AI184" i="1"/>
  <c r="AH184" i="1"/>
  <c r="AG184" i="1"/>
  <c r="AF184" i="1"/>
  <c r="AE184" i="1"/>
  <c r="AD184" i="1"/>
  <c r="AC184" i="1"/>
  <c r="AB184" i="1"/>
  <c r="AA184" i="1"/>
  <c r="Z184" i="1"/>
  <c r="Y184" i="1"/>
  <c r="X184" i="1"/>
  <c r="W184" i="1"/>
  <c r="V184" i="1"/>
  <c r="U184" i="1"/>
  <c r="T184" i="1"/>
  <c r="S184" i="1"/>
  <c r="R184" i="1"/>
  <c r="Q184" i="1"/>
  <c r="P184" i="1"/>
  <c r="O184" i="1"/>
  <c r="N184" i="1"/>
  <c r="M184" i="1"/>
  <c r="L184" i="1"/>
  <c r="K184" i="1"/>
  <c r="J184" i="1"/>
  <c r="I184" i="1"/>
  <c r="H184" i="1"/>
  <c r="G184" i="1"/>
  <c r="F184" i="1"/>
  <c r="A184" i="1"/>
  <c r="Z183" i="1"/>
  <c r="Z190" i="1" s="1"/>
  <c r="Y183" i="1"/>
  <c r="Y190" i="1" s="1"/>
  <c r="X183" i="1"/>
  <c r="W183" i="1"/>
  <c r="W190" i="1" s="1"/>
  <c r="V183" i="1"/>
  <c r="V190" i="1" s="1"/>
  <c r="U183" i="1"/>
  <c r="U190" i="1" s="1"/>
  <c r="T183" i="1"/>
  <c r="S183" i="1"/>
  <c r="S190" i="1" s="1"/>
  <c r="R183" i="1"/>
  <c r="R190" i="1" s="1"/>
  <c r="Q183" i="1"/>
  <c r="Q190" i="1" s="1"/>
  <c r="P183" i="1"/>
  <c r="O183" i="1"/>
  <c r="O190" i="1" s="1"/>
  <c r="N183" i="1"/>
  <c r="N190" i="1" s="1"/>
  <c r="M183" i="1"/>
  <c r="M190" i="1" s="1"/>
  <c r="L183" i="1"/>
  <c r="K183" i="1"/>
  <c r="K190" i="1" s="1"/>
  <c r="J183" i="1"/>
  <c r="J190" i="1" s="1"/>
  <c r="I183" i="1"/>
  <c r="I190" i="1" s="1"/>
  <c r="H183" i="1"/>
  <c r="G183" i="1"/>
  <c r="G190" i="1" s="1"/>
  <c r="F183" i="1"/>
  <c r="F190" i="1" s="1"/>
  <c r="A183" i="1"/>
  <c r="AW180" i="1"/>
  <c r="AV180" i="1"/>
  <c r="AU180" i="1"/>
  <c r="AT180" i="1"/>
  <c r="AS180" i="1"/>
  <c r="AR180" i="1"/>
  <c r="AQ180" i="1"/>
  <c r="AP180" i="1"/>
  <c r="AO180" i="1"/>
  <c r="AN180" i="1"/>
  <c r="AM180" i="1"/>
  <c r="AL180" i="1"/>
  <c r="AK180" i="1"/>
  <c r="AJ180" i="1"/>
  <c r="AI180" i="1"/>
  <c r="AH180" i="1"/>
  <c r="AG180" i="1"/>
  <c r="AF180" i="1"/>
  <c r="AE180" i="1"/>
  <c r="AD180" i="1"/>
  <c r="AC180" i="1"/>
  <c r="AB180" i="1"/>
  <c r="AA180" i="1"/>
  <c r="A180" i="1"/>
  <c r="AW179" i="1"/>
  <c r="AV179" i="1"/>
  <c r="AU179" i="1"/>
  <c r="AT179" i="1"/>
  <c r="AS179" i="1"/>
  <c r="AR179" i="1"/>
  <c r="AQ179" i="1"/>
  <c r="AP179" i="1"/>
  <c r="AO179" i="1"/>
  <c r="AN179" i="1"/>
  <c r="AM179" i="1"/>
  <c r="AL179" i="1"/>
  <c r="AK179" i="1"/>
  <c r="AJ179" i="1"/>
  <c r="AI179" i="1"/>
  <c r="AH179" i="1"/>
  <c r="AG179" i="1"/>
  <c r="AF179" i="1"/>
  <c r="AE179" i="1"/>
  <c r="AD179" i="1"/>
  <c r="AC179" i="1"/>
  <c r="AB179" i="1"/>
  <c r="AA179" i="1"/>
  <c r="A179" i="1"/>
  <c r="AW178" i="1"/>
  <c r="AV178" i="1"/>
  <c r="AU178" i="1"/>
  <c r="AT178" i="1"/>
  <c r="AS178" i="1"/>
  <c r="AR178" i="1"/>
  <c r="AQ178" i="1"/>
  <c r="AP178" i="1"/>
  <c r="AO178" i="1"/>
  <c r="AN178" i="1"/>
  <c r="AM178" i="1"/>
  <c r="AL178" i="1"/>
  <c r="AK178" i="1"/>
  <c r="AJ178" i="1"/>
  <c r="AI178" i="1"/>
  <c r="AH178" i="1"/>
  <c r="AG178" i="1"/>
  <c r="AF178" i="1"/>
  <c r="AE178" i="1"/>
  <c r="AD178" i="1"/>
  <c r="AC178" i="1"/>
  <c r="AB178" i="1"/>
  <c r="AA178" i="1"/>
  <c r="A178" i="1"/>
  <c r="AW177" i="1"/>
  <c r="AV177" i="1"/>
  <c r="AU177" i="1"/>
  <c r="AT177" i="1"/>
  <c r="AS177" i="1"/>
  <c r="AR177" i="1"/>
  <c r="AQ177" i="1"/>
  <c r="AP177" i="1"/>
  <c r="AO177" i="1"/>
  <c r="AN177" i="1"/>
  <c r="AM177" i="1"/>
  <c r="AL177" i="1"/>
  <c r="AK177" i="1"/>
  <c r="AJ177" i="1"/>
  <c r="AI177" i="1"/>
  <c r="AH177" i="1"/>
  <c r="AG177" i="1"/>
  <c r="AF177" i="1"/>
  <c r="AE177" i="1"/>
  <c r="AD177" i="1"/>
  <c r="AC177" i="1"/>
  <c r="AB177" i="1"/>
  <c r="AA177" i="1"/>
  <c r="A177" i="1"/>
  <c r="A176" i="1"/>
  <c r="A175" i="1"/>
  <c r="A164" i="1"/>
  <c r="A163" i="1"/>
  <c r="A162" i="1"/>
  <c r="A161" i="1"/>
  <c r="A160" i="1"/>
  <c r="A159" i="1"/>
  <c r="AW147" i="1"/>
  <c r="AV147" i="1"/>
  <c r="AU147" i="1"/>
  <c r="AS147" i="1"/>
  <c r="AR147" i="1"/>
  <c r="AQ147" i="1"/>
  <c r="AP147" i="1"/>
  <c r="AN147" i="1"/>
  <c r="AM147" i="1"/>
  <c r="AL147" i="1"/>
  <c r="AK147" i="1"/>
  <c r="AI147" i="1"/>
  <c r="AH147" i="1"/>
  <c r="AG147" i="1"/>
  <c r="AF147" i="1"/>
  <c r="AD147" i="1"/>
  <c r="AC147" i="1"/>
  <c r="AB147" i="1"/>
  <c r="AA147" i="1"/>
  <c r="A147" i="1"/>
  <c r="AW146" i="1"/>
  <c r="AV146" i="1"/>
  <c r="AU146" i="1"/>
  <c r="AS146" i="1"/>
  <c r="AR146" i="1"/>
  <c r="AQ146" i="1"/>
  <c r="AP146" i="1"/>
  <c r="AN146" i="1"/>
  <c r="AM146" i="1"/>
  <c r="AL146" i="1"/>
  <c r="AK146" i="1"/>
  <c r="AI146" i="1"/>
  <c r="AH146" i="1"/>
  <c r="AG146" i="1"/>
  <c r="AF146" i="1"/>
  <c r="AD146" i="1"/>
  <c r="AC146" i="1"/>
  <c r="AB146" i="1"/>
  <c r="AA146" i="1"/>
  <c r="A146" i="1"/>
  <c r="AW145" i="1"/>
  <c r="AV145" i="1"/>
  <c r="AU145" i="1"/>
  <c r="AS145" i="1"/>
  <c r="AR145" i="1"/>
  <c r="AQ145" i="1"/>
  <c r="AP145" i="1"/>
  <c r="AN145" i="1"/>
  <c r="AM145" i="1"/>
  <c r="AL145" i="1"/>
  <c r="AK145" i="1"/>
  <c r="AI145" i="1"/>
  <c r="AH145" i="1"/>
  <c r="AG145" i="1"/>
  <c r="AF145" i="1"/>
  <c r="AD145" i="1"/>
  <c r="AC145" i="1"/>
  <c r="AB145" i="1"/>
  <c r="AA145" i="1"/>
  <c r="A145" i="1"/>
  <c r="AW144" i="1"/>
  <c r="AV144" i="1"/>
  <c r="AU144" i="1"/>
  <c r="AU148" i="1" s="1"/>
  <c r="AS144" i="1"/>
  <c r="AR144" i="1"/>
  <c r="AQ144" i="1"/>
  <c r="AQ148" i="1" s="1"/>
  <c r="AP144" i="1"/>
  <c r="AN144" i="1"/>
  <c r="AM144" i="1"/>
  <c r="AM148" i="1" s="1"/>
  <c r="AL144" i="1"/>
  <c r="AK144" i="1"/>
  <c r="AI144" i="1"/>
  <c r="AI148" i="1" s="1"/>
  <c r="AH144" i="1"/>
  <c r="AG144" i="1"/>
  <c r="AF144" i="1"/>
  <c r="AD144" i="1"/>
  <c r="AC144" i="1"/>
  <c r="AB144" i="1"/>
  <c r="AA144" i="1"/>
  <c r="AA148" i="1" s="1"/>
  <c r="A144" i="1"/>
  <c r="A143" i="1"/>
  <c r="AO142" i="1"/>
  <c r="AN142" i="1"/>
  <c r="AM142" i="1"/>
  <c r="AM151" i="1" s="1"/>
  <c r="AL142" i="1"/>
  <c r="AK142" i="1"/>
  <c r="AJ142" i="1"/>
  <c r="AI142" i="1"/>
  <c r="AI151" i="1" s="1"/>
  <c r="AH142" i="1"/>
  <c r="AG142" i="1"/>
  <c r="AF142" i="1"/>
  <c r="AE142" i="1"/>
  <c r="AD142" i="1"/>
  <c r="AC142" i="1"/>
  <c r="AB142" i="1"/>
  <c r="AA142" i="1"/>
  <c r="AA151" i="1" s="1"/>
  <c r="Z142" i="1"/>
  <c r="Y142" i="1"/>
  <c r="X142" i="1"/>
  <c r="W142" i="1"/>
  <c r="V142" i="1"/>
  <c r="U142" i="1"/>
  <c r="T142" i="1"/>
  <c r="S142" i="1"/>
  <c r="R142" i="1"/>
  <c r="Q142" i="1"/>
  <c r="P142" i="1"/>
  <c r="O142" i="1"/>
  <c r="N142" i="1"/>
  <c r="M142" i="1"/>
  <c r="L142" i="1"/>
  <c r="K142" i="1"/>
  <c r="J142" i="1"/>
  <c r="I142" i="1"/>
  <c r="H142" i="1"/>
  <c r="G142" i="1"/>
  <c r="F142" i="1"/>
  <c r="A142" i="1"/>
  <c r="Z141" i="1"/>
  <c r="Z148" i="1" s="1"/>
  <c r="Y141" i="1"/>
  <c r="X141" i="1"/>
  <c r="W141" i="1"/>
  <c r="W148" i="1" s="1"/>
  <c r="V141" i="1"/>
  <c r="V148" i="1" s="1"/>
  <c r="U141" i="1"/>
  <c r="T141" i="1"/>
  <c r="S141" i="1"/>
  <c r="S148" i="1" s="1"/>
  <c r="R141" i="1"/>
  <c r="R148" i="1" s="1"/>
  <c r="Q141" i="1"/>
  <c r="P141" i="1"/>
  <c r="O141" i="1"/>
  <c r="O148" i="1" s="1"/>
  <c r="N141" i="1"/>
  <c r="N148" i="1" s="1"/>
  <c r="M141" i="1"/>
  <c r="L141" i="1"/>
  <c r="K141" i="1"/>
  <c r="K148" i="1" s="1"/>
  <c r="J141" i="1"/>
  <c r="J148" i="1" s="1"/>
  <c r="I141" i="1"/>
  <c r="H141" i="1"/>
  <c r="G141" i="1"/>
  <c r="G148" i="1" s="1"/>
  <c r="F141" i="1"/>
  <c r="F148" i="1" s="1"/>
  <c r="AW138" i="1"/>
  <c r="AV138" i="1"/>
  <c r="AU138" i="1"/>
  <c r="AW137" i="1"/>
  <c r="AV137" i="1"/>
  <c r="AR137" i="1"/>
  <c r="AQ137" i="1"/>
  <c r="AX136" i="1"/>
  <c r="AY136" i="1" s="1"/>
  <c r="AS136" i="1"/>
  <c r="AU137" i="1" s="1"/>
  <c r="AO136" i="1"/>
  <c r="AT138" i="1" s="1"/>
  <c r="AN136" i="1"/>
  <c r="AN191" i="1" s="1"/>
  <c r="AM136" i="1"/>
  <c r="AR138" i="1" s="1"/>
  <c r="AL136" i="1"/>
  <c r="AQ138" i="1" s="1"/>
  <c r="AK136" i="1"/>
  <c r="AK137" i="1" s="1"/>
  <c r="AJ136" i="1"/>
  <c r="AJ191" i="1" s="1"/>
  <c r="AI136" i="1"/>
  <c r="AI191" i="1" s="1"/>
  <c r="AH136" i="1"/>
  <c r="AH191" i="1" s="1"/>
  <c r="AG136" i="1"/>
  <c r="AG191" i="1" s="1"/>
  <c r="AF136" i="1"/>
  <c r="AF191" i="1" s="1"/>
  <c r="AE136" i="1"/>
  <c r="AE191" i="1" s="1"/>
  <c r="AD136" i="1"/>
  <c r="AD137" i="1" s="1"/>
  <c r="AC136" i="1"/>
  <c r="AC137" i="1" s="1"/>
  <c r="AB136" i="1"/>
  <c r="AB191" i="1" s="1"/>
  <c r="AA136" i="1"/>
  <c r="AA137" i="1" s="1"/>
  <c r="Z136" i="1"/>
  <c r="Z191" i="1" s="1"/>
  <c r="Y136" i="1"/>
  <c r="Y137" i="1" s="1"/>
  <c r="X136" i="1"/>
  <c r="X191" i="1" s="1"/>
  <c r="W136" i="1"/>
  <c r="W191" i="1" s="1"/>
  <c r="V136" i="1"/>
  <c r="V137" i="1" s="1"/>
  <c r="U136" i="1"/>
  <c r="U191" i="1" s="1"/>
  <c r="T136" i="1"/>
  <c r="T191" i="1" s="1"/>
  <c r="S136" i="1"/>
  <c r="S191" i="1" s="1"/>
  <c r="R136" i="1"/>
  <c r="R191" i="1" s="1"/>
  <c r="Q136" i="1"/>
  <c r="Q137" i="1" s="1"/>
  <c r="P136" i="1"/>
  <c r="P191" i="1" s="1"/>
  <c r="O136" i="1"/>
  <c r="O191" i="1" s="1"/>
  <c r="N136" i="1"/>
  <c r="N191" i="1" s="1"/>
  <c r="M136" i="1"/>
  <c r="M191" i="1" s="1"/>
  <c r="L136" i="1"/>
  <c r="L191" i="1" s="1"/>
  <c r="K136" i="1"/>
  <c r="K191" i="1" s="1"/>
  <c r="J136" i="1"/>
  <c r="J137" i="1" s="1"/>
  <c r="I136" i="1"/>
  <c r="I137" i="1" s="1"/>
  <c r="H136" i="1"/>
  <c r="H191" i="1" s="1"/>
  <c r="G136" i="1"/>
  <c r="G191" i="1" s="1"/>
  <c r="F136" i="1"/>
  <c r="F191" i="1" s="1"/>
  <c r="AW133" i="1"/>
  <c r="AW17" i="9" s="1"/>
  <c r="AV133" i="1"/>
  <c r="AV17" i="9" s="1"/>
  <c r="AU133" i="1"/>
  <c r="AU17" i="9" s="1"/>
  <c r="AT133" i="1"/>
  <c r="AT17" i="9" s="1"/>
  <c r="AR133" i="1"/>
  <c r="AR17" i="9" s="1"/>
  <c r="AQ133" i="1"/>
  <c r="AQ17" i="9" s="1"/>
  <c r="AP133" i="1"/>
  <c r="AP17" i="9" s="1"/>
  <c r="AO133" i="1"/>
  <c r="AO17" i="9" s="1"/>
  <c r="AN133" i="1"/>
  <c r="AN17" i="9" s="1"/>
  <c r="AM133" i="1"/>
  <c r="AM17" i="9" s="1"/>
  <c r="AL133" i="1"/>
  <c r="AL17" i="9" s="1"/>
  <c r="AK133" i="1"/>
  <c r="AK17" i="9" s="1"/>
  <c r="AJ133" i="1"/>
  <c r="AJ17" i="9" s="1"/>
  <c r="AI133" i="1"/>
  <c r="AI17" i="9" s="1"/>
  <c r="AH133" i="1"/>
  <c r="AH17" i="9" s="1"/>
  <c r="AG133" i="1"/>
  <c r="AG17" i="9" s="1"/>
  <c r="AF133" i="1"/>
  <c r="AF17" i="9" s="1"/>
  <c r="AW132" i="1"/>
  <c r="AV132" i="1"/>
  <c r="AR132" i="1"/>
  <c r="AQ132" i="1"/>
  <c r="AP132" i="1"/>
  <c r="AN132" i="1"/>
  <c r="AM132" i="1"/>
  <c r="AL132" i="1"/>
  <c r="AK132" i="1"/>
  <c r="AI132" i="1"/>
  <c r="AH132" i="1"/>
  <c r="AG132" i="1"/>
  <c r="AF132" i="1"/>
  <c r="AD132" i="1"/>
  <c r="AC132" i="1"/>
  <c r="AB132" i="1"/>
  <c r="AS131" i="1"/>
  <c r="AS189" i="1" s="1"/>
  <c r="AW129" i="1"/>
  <c r="AV129" i="1"/>
  <c r="AU129" i="1"/>
  <c r="AT129" i="1"/>
  <c r="AS129" i="1"/>
  <c r="AR129" i="1"/>
  <c r="AQ129" i="1"/>
  <c r="AP129" i="1"/>
  <c r="AO129" i="1"/>
  <c r="AN129" i="1"/>
  <c r="AM129" i="1"/>
  <c r="AL129" i="1"/>
  <c r="AK129" i="1"/>
  <c r="AJ129" i="1"/>
  <c r="AI129" i="1"/>
  <c r="AH129" i="1"/>
  <c r="AG129" i="1"/>
  <c r="AF129" i="1"/>
  <c r="AW127" i="1"/>
  <c r="AV127" i="1"/>
  <c r="AU127" i="1"/>
  <c r="AS127" i="1"/>
  <c r="AR127" i="1"/>
  <c r="AQ127" i="1"/>
  <c r="AP127" i="1"/>
  <c r="AN127" i="1"/>
  <c r="AM127" i="1"/>
  <c r="AL127" i="1"/>
  <c r="AK127" i="1"/>
  <c r="AI127" i="1"/>
  <c r="AH127" i="1"/>
  <c r="AG127" i="1"/>
  <c r="AF127" i="1"/>
  <c r="AD127" i="1"/>
  <c r="AC127" i="1"/>
  <c r="AB127" i="1"/>
  <c r="AX126" i="1"/>
  <c r="AY126" i="1" s="1"/>
  <c r="AW120" i="1"/>
  <c r="AW26" i="9" s="1"/>
  <c r="AV120" i="1"/>
  <c r="AV26" i="9" s="1"/>
  <c r="AU120" i="1"/>
  <c r="AU26" i="9" s="1"/>
  <c r="AS120" i="1"/>
  <c r="AS26" i="9" s="1"/>
  <c r="AR120" i="1"/>
  <c r="AR26" i="9" s="1"/>
  <c r="AQ120" i="1"/>
  <c r="AQ26" i="9" s="1"/>
  <c r="AP120" i="1"/>
  <c r="AP26" i="9" s="1"/>
  <c r="AN120" i="1"/>
  <c r="AN26" i="9" s="1"/>
  <c r="AM120" i="1"/>
  <c r="AM26" i="9" s="1"/>
  <c r="AL120" i="1"/>
  <c r="AL26" i="9" s="1"/>
  <c r="AK120" i="1"/>
  <c r="AK26" i="9" s="1"/>
  <c r="AI120" i="1"/>
  <c r="AI26" i="9" s="1"/>
  <c r="AH120" i="1"/>
  <c r="AH26" i="9" s="1"/>
  <c r="AG120" i="1"/>
  <c r="AG26" i="9" s="1"/>
  <c r="AF120" i="1"/>
  <c r="AF26" i="9" s="1"/>
  <c r="AW119" i="1"/>
  <c r="AV119" i="1"/>
  <c r="AU119" i="1"/>
  <c r="AS119" i="1"/>
  <c r="AR119" i="1"/>
  <c r="AQ119" i="1"/>
  <c r="AP119" i="1"/>
  <c r="AN119" i="1"/>
  <c r="AM119" i="1"/>
  <c r="AL119" i="1"/>
  <c r="AK119" i="1"/>
  <c r="AI119" i="1"/>
  <c r="AH119" i="1"/>
  <c r="AG119" i="1"/>
  <c r="AF119" i="1"/>
  <c r="AD119" i="1"/>
  <c r="AC119" i="1"/>
  <c r="AB119" i="1"/>
  <c r="AX116" i="1"/>
  <c r="AW116" i="1"/>
  <c r="AW117" i="1" s="1"/>
  <c r="AW164" i="1" s="1"/>
  <c r="AV116" i="1"/>
  <c r="AV122" i="1" s="1"/>
  <c r="AS116" i="1"/>
  <c r="AS117" i="1" s="1"/>
  <c r="AS164" i="1" s="1"/>
  <c r="AR116" i="1"/>
  <c r="AR122" i="1" s="1"/>
  <c r="AQ116" i="1"/>
  <c r="AQ122" i="1" s="1"/>
  <c r="AN116" i="1"/>
  <c r="AN122" i="1" s="1"/>
  <c r="AM116" i="1"/>
  <c r="AM122" i="1" s="1"/>
  <c r="AL116" i="1"/>
  <c r="AL122" i="1" s="1"/>
  <c r="AI116" i="1"/>
  <c r="AI122" i="1" s="1"/>
  <c r="AH116" i="1"/>
  <c r="AH122" i="1" s="1"/>
  <c r="AG116" i="1"/>
  <c r="AG117" i="1" s="1"/>
  <c r="AG164" i="1" s="1"/>
  <c r="AD116" i="1"/>
  <c r="AD122" i="1" s="1"/>
  <c r="AC116" i="1"/>
  <c r="AC117" i="1" s="1"/>
  <c r="AC164" i="1" s="1"/>
  <c r="AB116" i="1"/>
  <c r="AB122" i="1" s="1"/>
  <c r="AA116" i="1"/>
  <c r="AA117" i="1" s="1"/>
  <c r="AW113" i="1"/>
  <c r="AW16" i="9" s="1"/>
  <c r="AV113" i="1"/>
  <c r="AV16" i="9" s="1"/>
  <c r="AU113" i="1"/>
  <c r="AU16" i="9" s="1"/>
  <c r="AT113" i="1"/>
  <c r="AT16" i="9" s="1"/>
  <c r="AR113" i="1"/>
  <c r="AR16" i="9" s="1"/>
  <c r="AQ113" i="1"/>
  <c r="AQ16" i="9" s="1"/>
  <c r="AP113" i="1"/>
  <c r="AP16" i="9" s="1"/>
  <c r="AO113" i="1"/>
  <c r="AO16" i="9" s="1"/>
  <c r="AN113" i="1"/>
  <c r="AN16" i="9" s="1"/>
  <c r="AM113" i="1"/>
  <c r="AM16" i="9" s="1"/>
  <c r="AL113" i="1"/>
  <c r="AL16" i="9" s="1"/>
  <c r="AK113" i="1"/>
  <c r="AK16" i="9" s="1"/>
  <c r="AJ113" i="1"/>
  <c r="AJ16" i="9" s="1"/>
  <c r="AI113" i="1"/>
  <c r="AI16" i="9" s="1"/>
  <c r="AH113" i="1"/>
  <c r="AH16" i="9" s="1"/>
  <c r="AG113" i="1"/>
  <c r="AG16" i="9" s="1"/>
  <c r="AF113" i="1"/>
  <c r="AF16" i="9" s="1"/>
  <c r="AW112" i="1"/>
  <c r="AV112" i="1"/>
  <c r="AR112" i="1"/>
  <c r="AQ112" i="1"/>
  <c r="AP112" i="1"/>
  <c r="AN112" i="1"/>
  <c r="AM112" i="1"/>
  <c r="AL112" i="1"/>
  <c r="AK112" i="1"/>
  <c r="AI112" i="1"/>
  <c r="AH112" i="1"/>
  <c r="AG112" i="1"/>
  <c r="AF112" i="1"/>
  <c r="AD112" i="1"/>
  <c r="AC112" i="1"/>
  <c r="AB112" i="1"/>
  <c r="AS111" i="1"/>
  <c r="AS112" i="1" s="1"/>
  <c r="AW109" i="1"/>
  <c r="AV109" i="1"/>
  <c r="AU109" i="1"/>
  <c r="AT109" i="1"/>
  <c r="AS109" i="1"/>
  <c r="AR109" i="1"/>
  <c r="AQ109" i="1"/>
  <c r="AP109" i="1"/>
  <c r="AO109" i="1"/>
  <c r="AN109" i="1"/>
  <c r="AM109" i="1"/>
  <c r="AL109" i="1"/>
  <c r="AK109" i="1"/>
  <c r="AJ109" i="1"/>
  <c r="AI109" i="1"/>
  <c r="AH109" i="1"/>
  <c r="AG109" i="1"/>
  <c r="AF109" i="1"/>
  <c r="AW107" i="1"/>
  <c r="AV107" i="1"/>
  <c r="AU107" i="1"/>
  <c r="AS107" i="1"/>
  <c r="AR107" i="1"/>
  <c r="AQ107" i="1"/>
  <c r="AP107" i="1"/>
  <c r="AN107" i="1"/>
  <c r="AM107" i="1"/>
  <c r="AL107" i="1"/>
  <c r="AK107" i="1"/>
  <c r="AI107" i="1"/>
  <c r="AH107" i="1"/>
  <c r="AG107" i="1"/>
  <c r="AF107" i="1"/>
  <c r="AD107" i="1"/>
  <c r="AC107" i="1"/>
  <c r="AB107" i="1"/>
  <c r="AZ106" i="1"/>
  <c r="AY106" i="1"/>
  <c r="AY179" i="1" s="1"/>
  <c r="AX106" i="1"/>
  <c r="AX109" i="1" s="1"/>
  <c r="AW100" i="1"/>
  <c r="AW25" i="9" s="1"/>
  <c r="AV100" i="1"/>
  <c r="AV25" i="9" s="1"/>
  <c r="AU100" i="1"/>
  <c r="AU25" i="9" s="1"/>
  <c r="AS100" i="1"/>
  <c r="AS25" i="9" s="1"/>
  <c r="AR100" i="1"/>
  <c r="AR25" i="9" s="1"/>
  <c r="AQ100" i="1"/>
  <c r="AQ25" i="9" s="1"/>
  <c r="AP100" i="1"/>
  <c r="AP25" i="9" s="1"/>
  <c r="AN100" i="1"/>
  <c r="AN25" i="9" s="1"/>
  <c r="AM100" i="1"/>
  <c r="AM25" i="9" s="1"/>
  <c r="AL100" i="1"/>
  <c r="AL25" i="9" s="1"/>
  <c r="AK100" i="1"/>
  <c r="AK25" i="9" s="1"/>
  <c r="AI100" i="1"/>
  <c r="AI25" i="9" s="1"/>
  <c r="AH100" i="1"/>
  <c r="AH25" i="9" s="1"/>
  <c r="AG100" i="1"/>
  <c r="AG25" i="9" s="1"/>
  <c r="AF100" i="1"/>
  <c r="AF25" i="9" s="1"/>
  <c r="AW99" i="1"/>
  <c r="AV99" i="1"/>
  <c r="AU99" i="1"/>
  <c r="AS99" i="1"/>
  <c r="AR99" i="1"/>
  <c r="AQ99" i="1"/>
  <c r="AP99" i="1"/>
  <c r="AN99" i="1"/>
  <c r="AM99" i="1"/>
  <c r="AL99" i="1"/>
  <c r="AK99" i="1"/>
  <c r="AI99" i="1"/>
  <c r="AH99" i="1"/>
  <c r="AG99" i="1"/>
  <c r="AF99" i="1"/>
  <c r="AD99" i="1"/>
  <c r="AC99" i="1"/>
  <c r="AB99" i="1"/>
  <c r="AX96" i="1"/>
  <c r="AX97" i="1" s="1"/>
  <c r="AX163" i="1" s="1"/>
  <c r="AW96" i="1"/>
  <c r="AW102" i="1" s="1"/>
  <c r="AV96" i="1"/>
  <c r="AV102" i="1" s="1"/>
  <c r="AS96" i="1"/>
  <c r="AS102" i="1" s="1"/>
  <c r="AR96" i="1"/>
  <c r="AR102" i="1" s="1"/>
  <c r="AQ96" i="1"/>
  <c r="AQ102" i="1" s="1"/>
  <c r="AN96" i="1"/>
  <c r="AN102" i="1" s="1"/>
  <c r="AM96" i="1"/>
  <c r="AM102" i="1" s="1"/>
  <c r="AL96" i="1"/>
  <c r="AL97" i="1" s="1"/>
  <c r="AL163" i="1" s="1"/>
  <c r="AI96" i="1"/>
  <c r="AI102" i="1" s="1"/>
  <c r="AH96" i="1"/>
  <c r="AH97" i="1" s="1"/>
  <c r="AH163" i="1" s="1"/>
  <c r="AG96" i="1"/>
  <c r="AG102" i="1" s="1"/>
  <c r="AD96" i="1"/>
  <c r="AD97" i="1" s="1"/>
  <c r="AD163" i="1" s="1"/>
  <c r="AC96" i="1"/>
  <c r="AC102" i="1" s="1"/>
  <c r="AC103" i="1" s="1"/>
  <c r="AB96" i="1"/>
  <c r="AB102" i="1" s="1"/>
  <c r="AA96" i="1"/>
  <c r="AE96" i="1" s="1"/>
  <c r="AW93" i="1"/>
  <c r="AW15" i="9" s="1"/>
  <c r="AV93" i="1"/>
  <c r="AV15" i="9" s="1"/>
  <c r="AU93" i="1"/>
  <c r="AU15" i="9" s="1"/>
  <c r="AT93" i="1"/>
  <c r="AT15" i="9" s="1"/>
  <c r="AR93" i="1"/>
  <c r="AR15" i="9" s="1"/>
  <c r="AQ93" i="1"/>
  <c r="AQ15" i="9" s="1"/>
  <c r="AP93" i="1"/>
  <c r="AP15" i="9" s="1"/>
  <c r="AO93" i="1"/>
  <c r="AO15" i="9" s="1"/>
  <c r="AN93" i="1"/>
  <c r="AN15" i="9" s="1"/>
  <c r="AM93" i="1"/>
  <c r="AM15" i="9" s="1"/>
  <c r="AL93" i="1"/>
  <c r="AL15" i="9" s="1"/>
  <c r="AK93" i="1"/>
  <c r="AK15" i="9" s="1"/>
  <c r="AJ93" i="1"/>
  <c r="AJ15" i="9" s="1"/>
  <c r="AI93" i="1"/>
  <c r="AI15" i="9" s="1"/>
  <c r="AH93" i="1"/>
  <c r="AH15" i="9" s="1"/>
  <c r="AG93" i="1"/>
  <c r="AG15" i="9" s="1"/>
  <c r="AF93" i="1"/>
  <c r="AF15" i="9" s="1"/>
  <c r="AW92" i="1"/>
  <c r="AV92" i="1"/>
  <c r="AR92" i="1"/>
  <c r="AQ92" i="1"/>
  <c r="AP92" i="1"/>
  <c r="AN92" i="1"/>
  <c r="AM92" i="1"/>
  <c r="AL92" i="1"/>
  <c r="AK92" i="1"/>
  <c r="AI92" i="1"/>
  <c r="AH92" i="1"/>
  <c r="AG92" i="1"/>
  <c r="AF92" i="1"/>
  <c r="AD92" i="1"/>
  <c r="AC92" i="1"/>
  <c r="AB92" i="1"/>
  <c r="AS91" i="1"/>
  <c r="AS187" i="1" s="1"/>
  <c r="AW89" i="1"/>
  <c r="AV89" i="1"/>
  <c r="AU89" i="1"/>
  <c r="AT89" i="1"/>
  <c r="AS89" i="1"/>
  <c r="AR89" i="1"/>
  <c r="AQ89" i="1"/>
  <c r="AP89" i="1"/>
  <c r="AO89" i="1"/>
  <c r="AN89" i="1"/>
  <c r="AM89" i="1"/>
  <c r="AL89" i="1"/>
  <c r="AK89" i="1"/>
  <c r="AJ89" i="1"/>
  <c r="AI89" i="1"/>
  <c r="AH89" i="1"/>
  <c r="AG89" i="1"/>
  <c r="AF89" i="1"/>
  <c r="AW87" i="1"/>
  <c r="AV87" i="1"/>
  <c r="AU87" i="1"/>
  <c r="AS87" i="1"/>
  <c r="AR87" i="1"/>
  <c r="AQ87" i="1"/>
  <c r="AP87" i="1"/>
  <c r="AN87" i="1"/>
  <c r="AM87" i="1"/>
  <c r="AL87" i="1"/>
  <c r="AK87" i="1"/>
  <c r="AI87" i="1"/>
  <c r="AH87" i="1"/>
  <c r="AG87" i="1"/>
  <c r="AF87" i="1"/>
  <c r="AD87" i="1"/>
  <c r="AC87" i="1"/>
  <c r="AB87" i="1"/>
  <c r="AZ86" i="1"/>
  <c r="BA86" i="1" s="1"/>
  <c r="AY86" i="1"/>
  <c r="AY89" i="1" s="1"/>
  <c r="AX86" i="1"/>
  <c r="AX89" i="1" s="1"/>
  <c r="AW80" i="1"/>
  <c r="AW24" i="9" s="1"/>
  <c r="AV80" i="1"/>
  <c r="AV24" i="9" s="1"/>
  <c r="AU80" i="1"/>
  <c r="AU24" i="9" s="1"/>
  <c r="AS80" i="1"/>
  <c r="AS24" i="9" s="1"/>
  <c r="AR80" i="1"/>
  <c r="AR24" i="9" s="1"/>
  <c r="AQ80" i="1"/>
  <c r="AQ24" i="9" s="1"/>
  <c r="AP80" i="1"/>
  <c r="AP24" i="9" s="1"/>
  <c r="AN80" i="1"/>
  <c r="AN24" i="9" s="1"/>
  <c r="AM80" i="1"/>
  <c r="AM24" i="9" s="1"/>
  <c r="AL80" i="1"/>
  <c r="AL24" i="9" s="1"/>
  <c r="AK80" i="1"/>
  <c r="AK24" i="9" s="1"/>
  <c r="AI80" i="1"/>
  <c r="AI24" i="9" s="1"/>
  <c r="AH80" i="1"/>
  <c r="AH24" i="9" s="1"/>
  <c r="AG80" i="1"/>
  <c r="AG24" i="9" s="1"/>
  <c r="AF80" i="1"/>
  <c r="AF24" i="9" s="1"/>
  <c r="AW79" i="1"/>
  <c r="AV79" i="1"/>
  <c r="AU79" i="1"/>
  <c r="AS79" i="1"/>
  <c r="AR79" i="1"/>
  <c r="AQ79" i="1"/>
  <c r="AP79" i="1"/>
  <c r="AN79" i="1"/>
  <c r="AM79" i="1"/>
  <c r="AL79" i="1"/>
  <c r="AK79" i="1"/>
  <c r="AI79" i="1"/>
  <c r="AH79" i="1"/>
  <c r="AG79" i="1"/>
  <c r="AF79" i="1"/>
  <c r="AD79" i="1"/>
  <c r="AC79" i="1"/>
  <c r="AB79" i="1"/>
  <c r="AX76" i="1"/>
  <c r="AX77" i="1" s="1"/>
  <c r="AX162" i="1" s="1"/>
  <c r="AW76" i="1"/>
  <c r="AW82" i="1" s="1"/>
  <c r="AV76" i="1"/>
  <c r="AV82" i="1" s="1"/>
  <c r="AS76" i="1"/>
  <c r="AS82" i="1" s="1"/>
  <c r="AR76" i="1"/>
  <c r="AR82" i="1" s="1"/>
  <c r="AQ76" i="1"/>
  <c r="AQ77" i="1" s="1"/>
  <c r="AQ162" i="1" s="1"/>
  <c r="AN76" i="1"/>
  <c r="AN82" i="1" s="1"/>
  <c r="AM76" i="1"/>
  <c r="AM77" i="1" s="1"/>
  <c r="AM162" i="1" s="1"/>
  <c r="AL76" i="1"/>
  <c r="AL82" i="1" s="1"/>
  <c r="AI76" i="1"/>
  <c r="AI77" i="1" s="1"/>
  <c r="AI162" i="1" s="1"/>
  <c r="AH76" i="1"/>
  <c r="AH82" i="1" s="1"/>
  <c r="AG76" i="1"/>
  <c r="AG82" i="1" s="1"/>
  <c r="AD76" i="1"/>
  <c r="AD82" i="1" s="1"/>
  <c r="AC76" i="1"/>
  <c r="AC82" i="1" s="1"/>
  <c r="AC83" i="1" s="1"/>
  <c r="AB76" i="1"/>
  <c r="AB82" i="1" s="1"/>
  <c r="AA76" i="1"/>
  <c r="AA77" i="1" s="1"/>
  <c r="AW73" i="1"/>
  <c r="AW14" i="9" s="1"/>
  <c r="AV73" i="1"/>
  <c r="AV14" i="9" s="1"/>
  <c r="AU73" i="1"/>
  <c r="AU14" i="9" s="1"/>
  <c r="AT73" i="1"/>
  <c r="AT14" i="9" s="1"/>
  <c r="AR73" i="1"/>
  <c r="AR14" i="9" s="1"/>
  <c r="AQ73" i="1"/>
  <c r="AQ14" i="9" s="1"/>
  <c r="AP73" i="1"/>
  <c r="AP14" i="9" s="1"/>
  <c r="AO73" i="1"/>
  <c r="AO14" i="9" s="1"/>
  <c r="AN73" i="1"/>
  <c r="AN14" i="9" s="1"/>
  <c r="AM73" i="1"/>
  <c r="AM14" i="9" s="1"/>
  <c r="AL73" i="1"/>
  <c r="AL14" i="9" s="1"/>
  <c r="AK73" i="1"/>
  <c r="AK14" i="9" s="1"/>
  <c r="AJ73" i="1"/>
  <c r="AJ14" i="9" s="1"/>
  <c r="AI73" i="1"/>
  <c r="AI14" i="9" s="1"/>
  <c r="AH73" i="1"/>
  <c r="AH14" i="9" s="1"/>
  <c r="AG73" i="1"/>
  <c r="AG14" i="9" s="1"/>
  <c r="AF73" i="1"/>
  <c r="AF14" i="9" s="1"/>
  <c r="AW72" i="1"/>
  <c r="AV72" i="1"/>
  <c r="AR72" i="1"/>
  <c r="AQ72" i="1"/>
  <c r="AP72" i="1"/>
  <c r="AN72" i="1"/>
  <c r="AM72" i="1"/>
  <c r="AL72" i="1"/>
  <c r="AK72" i="1"/>
  <c r="AI72" i="1"/>
  <c r="AH72" i="1"/>
  <c r="AG72" i="1"/>
  <c r="AF72" i="1"/>
  <c r="AD72" i="1"/>
  <c r="AC72" i="1"/>
  <c r="AB72" i="1"/>
  <c r="AS71" i="1"/>
  <c r="AS73" i="1" s="1"/>
  <c r="AS14" i="9" s="1"/>
  <c r="AO69" i="1"/>
  <c r="AO185" i="1" s="1"/>
  <c r="AN69" i="1"/>
  <c r="AN70" i="1" s="1"/>
  <c r="AM69" i="1"/>
  <c r="AM185" i="1" s="1"/>
  <c r="AL69" i="1"/>
  <c r="AL185" i="1" s="1"/>
  <c r="AK69" i="1"/>
  <c r="AK185" i="1" s="1"/>
  <c r="AJ69" i="1"/>
  <c r="AO70" i="1" s="1"/>
  <c r="AI69" i="1"/>
  <c r="AI185" i="1" s="1"/>
  <c r="AH69" i="1"/>
  <c r="AH185" i="1" s="1"/>
  <c r="AG69" i="1"/>
  <c r="AG185" i="1" s="1"/>
  <c r="AF69" i="1"/>
  <c r="AK70" i="1" s="1"/>
  <c r="AE69" i="1"/>
  <c r="AE185" i="1" s="1"/>
  <c r="AD69" i="1"/>
  <c r="AD185" i="1" s="1"/>
  <c r="AC69" i="1"/>
  <c r="AC185" i="1" s="1"/>
  <c r="AB69" i="1"/>
  <c r="AG70" i="1" s="1"/>
  <c r="AA69" i="1"/>
  <c r="AA185" i="1" s="1"/>
  <c r="AO68" i="1"/>
  <c r="AN68" i="1"/>
  <c r="AM68" i="1"/>
  <c r="AL68" i="1"/>
  <c r="AK68" i="1"/>
  <c r="AJ68" i="1"/>
  <c r="AI68" i="1"/>
  <c r="AH68" i="1"/>
  <c r="AG68" i="1"/>
  <c r="AF68" i="1"/>
  <c r="AE68" i="1"/>
  <c r="AD68" i="1"/>
  <c r="AC68" i="1"/>
  <c r="AB68" i="1"/>
  <c r="AA68" i="1"/>
  <c r="Z68" i="1"/>
  <c r="Y68" i="1"/>
  <c r="X68" i="1"/>
  <c r="W68" i="1"/>
  <c r="V68" i="1"/>
  <c r="U68" i="1"/>
  <c r="T68" i="1"/>
  <c r="S68" i="1"/>
  <c r="R68" i="1"/>
  <c r="Q68" i="1"/>
  <c r="P68" i="1"/>
  <c r="O68" i="1"/>
  <c r="N68" i="1"/>
  <c r="M68" i="1"/>
  <c r="L68" i="1"/>
  <c r="K68" i="1"/>
  <c r="AW65" i="1"/>
  <c r="AV65" i="1"/>
  <c r="AU65" i="1"/>
  <c r="AT65" i="1"/>
  <c r="AS65" i="1"/>
  <c r="AR65" i="1"/>
  <c r="AQ65" i="1"/>
  <c r="AP65" i="1"/>
  <c r="AO65" i="1"/>
  <c r="AN65" i="1"/>
  <c r="AM65" i="1"/>
  <c r="AL65" i="1"/>
  <c r="AK65" i="1"/>
  <c r="AJ65" i="1"/>
  <c r="AI65" i="1"/>
  <c r="AH65" i="1"/>
  <c r="AG65" i="1"/>
  <c r="AF65" i="1"/>
  <c r="AW63" i="1"/>
  <c r="AV63" i="1"/>
  <c r="AU63" i="1"/>
  <c r="AS63" i="1"/>
  <c r="AR63" i="1"/>
  <c r="AQ63" i="1"/>
  <c r="AP63" i="1"/>
  <c r="AN63" i="1"/>
  <c r="AM63" i="1"/>
  <c r="AL63" i="1"/>
  <c r="AK63" i="1"/>
  <c r="AI63" i="1"/>
  <c r="AH63" i="1"/>
  <c r="AG63" i="1"/>
  <c r="AF63" i="1"/>
  <c r="AD63" i="1"/>
  <c r="AC63" i="1"/>
  <c r="AB63" i="1"/>
  <c r="AX62" i="1"/>
  <c r="AX177" i="1" s="1"/>
  <c r="AN58" i="1"/>
  <c r="AN175" i="1" s="1"/>
  <c r="AM58" i="1"/>
  <c r="AM175" i="1" s="1"/>
  <c r="AL58" i="1"/>
  <c r="AL175" i="1" s="1"/>
  <c r="AK58" i="1"/>
  <c r="AO58" i="1" s="1"/>
  <c r="AI58" i="1"/>
  <c r="AI175" i="1" s="1"/>
  <c r="AH58" i="1"/>
  <c r="AH175" i="1" s="1"/>
  <c r="AG58" i="1"/>
  <c r="AG175" i="1" s="1"/>
  <c r="AF58" i="1"/>
  <c r="AJ58" i="1" s="1"/>
  <c r="AD58" i="1"/>
  <c r="AD175" i="1" s="1"/>
  <c r="AC58" i="1"/>
  <c r="AC175" i="1" s="1"/>
  <c r="AB58" i="1"/>
  <c r="AB175" i="1" s="1"/>
  <c r="AA58" i="1"/>
  <c r="AA175" i="1" s="1"/>
  <c r="Y58" i="1"/>
  <c r="Y59" i="1" s="1"/>
  <c r="X58" i="1"/>
  <c r="X59" i="1" s="1"/>
  <c r="W58" i="1"/>
  <c r="W59" i="1" s="1"/>
  <c r="V58" i="1"/>
  <c r="V59" i="1" s="1"/>
  <c r="T58" i="1"/>
  <c r="T59" i="1" s="1"/>
  <c r="S58" i="1"/>
  <c r="S59" i="1" s="1"/>
  <c r="R58" i="1"/>
  <c r="R59" i="1" s="1"/>
  <c r="Q58" i="1"/>
  <c r="U58" i="1" s="1"/>
  <c r="O58" i="1"/>
  <c r="O59" i="1" s="1"/>
  <c r="N58" i="1"/>
  <c r="N59" i="1" s="1"/>
  <c r="M58" i="1"/>
  <c r="M59" i="1" s="1"/>
  <c r="L58" i="1"/>
  <c r="P58" i="1" s="1"/>
  <c r="J58" i="1"/>
  <c r="I58" i="1"/>
  <c r="H58" i="1"/>
  <c r="G58" i="1"/>
  <c r="K58" i="1" s="1"/>
  <c r="AW52" i="1"/>
  <c r="AW23" i="9" s="1"/>
  <c r="AV52" i="1"/>
  <c r="AV23" i="9" s="1"/>
  <c r="AU52" i="1"/>
  <c r="AU23" i="9" s="1"/>
  <c r="AS52" i="1"/>
  <c r="AS23" i="9" s="1"/>
  <c r="AR52" i="1"/>
  <c r="AR23" i="9" s="1"/>
  <c r="AQ52" i="1"/>
  <c r="AQ23" i="9" s="1"/>
  <c r="AP52" i="1"/>
  <c r="AP23" i="9" s="1"/>
  <c r="AN52" i="1"/>
  <c r="AN23" i="9" s="1"/>
  <c r="AM52" i="1"/>
  <c r="AM23" i="9" s="1"/>
  <c r="AL52" i="1"/>
  <c r="AL23" i="9" s="1"/>
  <c r="AK52" i="1"/>
  <c r="AK23" i="9" s="1"/>
  <c r="AI52" i="1"/>
  <c r="AI23" i="9" s="1"/>
  <c r="AH52" i="1"/>
  <c r="AH23" i="9" s="1"/>
  <c r="AG52" i="1"/>
  <c r="AG23" i="9" s="1"/>
  <c r="AF52" i="1"/>
  <c r="AF23" i="9" s="1"/>
  <c r="AW51" i="1"/>
  <c r="AV51" i="1"/>
  <c r="AU51" i="1"/>
  <c r="AS51" i="1"/>
  <c r="AR51" i="1"/>
  <c r="AQ51" i="1"/>
  <c r="AP51" i="1"/>
  <c r="AN51" i="1"/>
  <c r="AM51" i="1"/>
  <c r="AL51" i="1"/>
  <c r="AK51" i="1"/>
  <c r="AI51" i="1"/>
  <c r="AH51" i="1"/>
  <c r="AG51" i="1"/>
  <c r="AF51" i="1"/>
  <c r="AD51" i="1"/>
  <c r="AC51" i="1"/>
  <c r="AB51" i="1"/>
  <c r="AX48" i="1"/>
  <c r="AX49" i="1" s="1"/>
  <c r="AX161" i="1" s="1"/>
  <c r="AW48" i="1"/>
  <c r="AW54" i="1" s="1"/>
  <c r="AV48" i="1"/>
  <c r="AV54" i="1" s="1"/>
  <c r="AS48" i="1"/>
  <c r="AS54" i="1" s="1"/>
  <c r="AR48" i="1"/>
  <c r="AR54" i="1" s="1"/>
  <c r="AQ48" i="1"/>
  <c r="AQ54" i="1" s="1"/>
  <c r="AN48" i="1"/>
  <c r="AN54" i="1" s="1"/>
  <c r="AM48" i="1"/>
  <c r="AM54" i="1" s="1"/>
  <c r="AL48" i="1"/>
  <c r="AL49" i="1" s="1"/>
  <c r="AL161" i="1" s="1"/>
  <c r="AI48" i="1"/>
  <c r="AI54" i="1" s="1"/>
  <c r="AH48" i="1"/>
  <c r="AH49" i="1" s="1"/>
  <c r="AH161" i="1" s="1"/>
  <c r="AG48" i="1"/>
  <c r="AG54" i="1" s="1"/>
  <c r="AD48" i="1"/>
  <c r="AD49" i="1" s="1"/>
  <c r="AD161" i="1" s="1"/>
  <c r="AC48" i="1"/>
  <c r="AC54" i="1" s="1"/>
  <c r="AC55" i="1" s="1"/>
  <c r="AB48" i="1"/>
  <c r="AB54" i="1" s="1"/>
  <c r="AA48" i="1"/>
  <c r="AE48" i="1" s="1"/>
  <c r="AN43" i="1"/>
  <c r="AN60" i="1" s="1"/>
  <c r="AM43" i="1"/>
  <c r="AM143" i="1" s="1"/>
  <c r="AM152" i="1" s="1"/>
  <c r="AL43" i="1"/>
  <c r="AL46" i="1" s="1"/>
  <c r="AL160" i="1" s="1"/>
  <c r="AK43" i="1"/>
  <c r="AK45" i="1" s="1"/>
  <c r="AI43" i="1"/>
  <c r="AI143" i="1" s="1"/>
  <c r="AI152" i="1" s="1"/>
  <c r="AH43" i="1"/>
  <c r="AH46" i="1" s="1"/>
  <c r="AH160" i="1" s="1"/>
  <c r="AG43" i="1"/>
  <c r="AG45" i="1" s="1"/>
  <c r="AF43" i="1"/>
  <c r="AD43" i="1"/>
  <c r="AD46" i="1" s="1"/>
  <c r="AD160" i="1" s="1"/>
  <c r="AC43" i="1"/>
  <c r="AC46" i="1" s="1"/>
  <c r="AC160" i="1" s="1"/>
  <c r="AB43" i="1"/>
  <c r="AB60" i="1" s="1"/>
  <c r="AB176" i="1" s="1"/>
  <c r="AA43" i="1"/>
  <c r="AA143" i="1" s="1"/>
  <c r="AA152" i="1" s="1"/>
  <c r="AN42" i="1"/>
  <c r="AN159" i="1" s="1"/>
  <c r="AM42" i="1"/>
  <c r="AM159" i="1" s="1"/>
  <c r="AL42" i="1"/>
  <c r="AL159" i="1" s="1"/>
  <c r="AK42" i="1"/>
  <c r="AO42" i="1" s="1"/>
  <c r="AO159" i="1" s="1"/>
  <c r="AI42" i="1"/>
  <c r="AI159" i="1" s="1"/>
  <c r="AH42" i="1"/>
  <c r="AH159" i="1" s="1"/>
  <c r="AG42" i="1"/>
  <c r="AG159" i="1" s="1"/>
  <c r="AF42" i="1"/>
  <c r="AJ42" i="1" s="1"/>
  <c r="AJ159" i="1" s="1"/>
  <c r="AD42" i="1"/>
  <c r="AD159" i="1" s="1"/>
  <c r="AC42" i="1"/>
  <c r="AC159" i="1" s="1"/>
  <c r="AB42" i="1"/>
  <c r="AB159" i="1" s="1"/>
  <c r="AA42" i="1"/>
  <c r="AA159" i="1" s="1"/>
  <c r="Y42" i="1"/>
  <c r="Y159" i="1" s="1"/>
  <c r="X42" i="1"/>
  <c r="X159" i="1" s="1"/>
  <c r="W42" i="1"/>
  <c r="W159" i="1" s="1"/>
  <c r="V42" i="1"/>
  <c r="V159" i="1" s="1"/>
  <c r="T42" i="1"/>
  <c r="T159" i="1" s="1"/>
  <c r="S42" i="1"/>
  <c r="S159" i="1" s="1"/>
  <c r="R42" i="1"/>
  <c r="R159" i="1" s="1"/>
  <c r="Q42" i="1"/>
  <c r="U42" i="1" s="1"/>
  <c r="U159" i="1" s="1"/>
  <c r="O42" i="1"/>
  <c r="O159" i="1" s="1"/>
  <c r="N42" i="1"/>
  <c r="N159" i="1" s="1"/>
  <c r="M42" i="1"/>
  <c r="M159" i="1" s="1"/>
  <c r="L42" i="1"/>
  <c r="P42" i="1" s="1"/>
  <c r="P159" i="1" s="1"/>
  <c r="J42" i="1"/>
  <c r="J159" i="1" s="1"/>
  <c r="I42" i="1"/>
  <c r="I159" i="1" s="1"/>
  <c r="H42" i="1"/>
  <c r="H159" i="1" s="1"/>
  <c r="G42" i="1"/>
  <c r="G159" i="1" s="1"/>
  <c r="AO41" i="1"/>
  <c r="AN41" i="1"/>
  <c r="AM41" i="1"/>
  <c r="AL41" i="1"/>
  <c r="AK41" i="1"/>
  <c r="AJ41" i="1"/>
  <c r="AI41" i="1"/>
  <c r="AH41" i="1"/>
  <c r="AG41" i="1"/>
  <c r="AF41" i="1"/>
  <c r="AE41" i="1"/>
  <c r="AD41" i="1"/>
  <c r="AC41" i="1"/>
  <c r="AB41" i="1"/>
  <c r="AA41" i="1"/>
  <c r="Z41" i="1"/>
  <c r="Y41" i="1"/>
  <c r="X41" i="1"/>
  <c r="W41" i="1"/>
  <c r="V41" i="1"/>
  <c r="U41" i="1"/>
  <c r="T41" i="1"/>
  <c r="S41" i="1"/>
  <c r="R41" i="1"/>
  <c r="Q41" i="1"/>
  <c r="P41" i="1"/>
  <c r="O41" i="1"/>
  <c r="N41" i="1"/>
  <c r="M41" i="1"/>
  <c r="L41" i="1"/>
  <c r="K41" i="1"/>
  <c r="AN40" i="1"/>
  <c r="AM40" i="1"/>
  <c r="AL40" i="1"/>
  <c r="AK40" i="1"/>
  <c r="AI40" i="1"/>
  <c r="AH40" i="1"/>
  <c r="AG40" i="1"/>
  <c r="AF40" i="1"/>
  <c r="AD40" i="1"/>
  <c r="AC40" i="1"/>
  <c r="AB40" i="1"/>
  <c r="AA40" i="1"/>
  <c r="Y40" i="1"/>
  <c r="X40" i="1"/>
  <c r="W40" i="1"/>
  <c r="V40" i="1"/>
  <c r="T40" i="1"/>
  <c r="S40" i="1"/>
  <c r="R40" i="1"/>
  <c r="Q40" i="1"/>
  <c r="O40" i="1"/>
  <c r="N40" i="1"/>
  <c r="M40" i="1"/>
  <c r="L40" i="1"/>
  <c r="J40" i="1"/>
  <c r="I40" i="1"/>
  <c r="H40" i="1"/>
  <c r="AS35" i="1"/>
  <c r="A29" i="1"/>
  <c r="E28" i="1"/>
  <c r="E32" i="1" s="1"/>
  <c r="E20" i="9" s="1"/>
  <c r="D28" i="1"/>
  <c r="D32" i="1" s="1"/>
  <c r="D20" i="9" s="1"/>
  <c r="C28" i="1"/>
  <c r="AQ25" i="1"/>
  <c r="AW24" i="1"/>
  <c r="AW26" i="1" s="1"/>
  <c r="AW19" i="9" s="1"/>
  <c r="AV24" i="1"/>
  <c r="AV26" i="1" s="1"/>
  <c r="AV19" i="9" s="1"/>
  <c r="AU24" i="1"/>
  <c r="AU26" i="1" s="1"/>
  <c r="AU19" i="9" s="1"/>
  <c r="AT24" i="1"/>
  <c r="AR24" i="1"/>
  <c r="AQ24" i="1"/>
  <c r="AP24" i="1"/>
  <c r="AP25" i="1" s="1"/>
  <c r="AN24" i="1"/>
  <c r="AN26" i="1" s="1"/>
  <c r="AN19" i="9" s="1"/>
  <c r="AJ24" i="1"/>
  <c r="AJ26" i="1" s="1"/>
  <c r="AJ19" i="9" s="1"/>
  <c r="AI24" i="1"/>
  <c r="AH24" i="1"/>
  <c r="AG24" i="1"/>
  <c r="AG26" i="1" s="1"/>
  <c r="AG19" i="9" s="1"/>
  <c r="AF24" i="1"/>
  <c r="AE24" i="1"/>
  <c r="AE26" i="1" s="1"/>
  <c r="AE19" i="9" s="1"/>
  <c r="AB24" i="1"/>
  <c r="AB26" i="1" s="1"/>
  <c r="AB19" i="9" s="1"/>
  <c r="Z24" i="1"/>
  <c r="Z26" i="1" s="1"/>
  <c r="Z19" i="9" s="1"/>
  <c r="X24" i="1"/>
  <c r="X26" i="1" s="1"/>
  <c r="X19" i="9" s="1"/>
  <c r="W24" i="1"/>
  <c r="W26" i="1" s="1"/>
  <c r="W19" i="9" s="1"/>
  <c r="U24" i="1"/>
  <c r="U26" i="1" s="1"/>
  <c r="U19" i="9" s="1"/>
  <c r="T24" i="1"/>
  <c r="T26" i="1" s="1"/>
  <c r="T19" i="9" s="1"/>
  <c r="S24" i="1"/>
  <c r="S26" i="1" s="1"/>
  <c r="S19" i="9" s="1"/>
  <c r="R24" i="1"/>
  <c r="R26" i="1" s="1"/>
  <c r="R19" i="9" s="1"/>
  <c r="P24" i="1"/>
  <c r="P26" i="1" s="1"/>
  <c r="P19" i="9" s="1"/>
  <c r="O24" i="1"/>
  <c r="N24" i="1"/>
  <c r="M24" i="1"/>
  <c r="M26" i="1" s="1"/>
  <c r="M19" i="9" s="1"/>
  <c r="L24" i="1"/>
  <c r="L26" i="1" s="1"/>
  <c r="L19" i="9" s="1"/>
  <c r="K24" i="1"/>
  <c r="K26" i="1" s="1"/>
  <c r="K19" i="9" s="1"/>
  <c r="H24" i="1"/>
  <c r="H25" i="1" s="1"/>
  <c r="G24" i="1"/>
  <c r="F24" i="1"/>
  <c r="AU21" i="1"/>
  <c r="AU28" i="1" s="1"/>
  <c r="AT21" i="1"/>
  <c r="AQ21" i="1"/>
  <c r="AQ28" i="1" s="1"/>
  <c r="AP21" i="1"/>
  <c r="AM21" i="1"/>
  <c r="AL21" i="1"/>
  <c r="AI21" i="1"/>
  <c r="AI28" i="1" s="1"/>
  <c r="AH21" i="1"/>
  <c r="AE21" i="1"/>
  <c r="AE28" i="1" s="1"/>
  <c r="AD21" i="1"/>
  <c r="AD23" i="1" s="1"/>
  <c r="AD18" i="9" s="1"/>
  <c r="AA21" i="1"/>
  <c r="Z21" i="1"/>
  <c r="Z23" i="1" s="1"/>
  <c r="Z18" i="9" s="1"/>
  <c r="Y21" i="1"/>
  <c r="W21" i="1"/>
  <c r="W28" i="1" s="1"/>
  <c r="V21" i="1"/>
  <c r="V23" i="1" s="1"/>
  <c r="V18" i="9" s="1"/>
  <c r="U21" i="1"/>
  <c r="S21" i="1"/>
  <c r="S28" i="1" s="1"/>
  <c r="R21" i="1"/>
  <c r="R23" i="1" s="1"/>
  <c r="R18" i="9" s="1"/>
  <c r="Q21" i="1"/>
  <c r="O21" i="1"/>
  <c r="O28" i="1" s="1"/>
  <c r="N21" i="1"/>
  <c r="N23" i="1" s="1"/>
  <c r="N18" i="9" s="1"/>
  <c r="M21" i="1"/>
  <c r="K21" i="1"/>
  <c r="K28" i="1" s="1"/>
  <c r="J21" i="1"/>
  <c r="J22" i="1" s="1"/>
  <c r="I21" i="1"/>
  <c r="G21" i="1"/>
  <c r="G28" i="1" s="1"/>
  <c r="F21" i="1"/>
  <c r="F28" i="1" s="1"/>
  <c r="F32" i="1" s="1"/>
  <c r="F20" i="9" s="1"/>
  <c r="W10" i="1"/>
  <c r="AU9" i="1"/>
  <c r="AQ9" i="1"/>
  <c r="AM9" i="1"/>
  <c r="AI9" i="1"/>
  <c r="AA9" i="1"/>
  <c r="AA12" i="1" s="1"/>
  <c r="Z9" i="1"/>
  <c r="W9" i="1"/>
  <c r="W12" i="1" s="1"/>
  <c r="V9" i="1"/>
  <c r="S9" i="1"/>
  <c r="S12" i="1" s="1"/>
  <c r="R9" i="1"/>
  <c r="O9" i="1"/>
  <c r="O12" i="1" s="1"/>
  <c r="N9" i="1"/>
  <c r="K9" i="1"/>
  <c r="K11" i="1" s="1"/>
  <c r="K27" i="9" s="1"/>
  <c r="J9" i="1"/>
  <c r="G9" i="1"/>
  <c r="G12" i="1" s="1"/>
  <c r="F9" i="1"/>
  <c r="AV7" i="1"/>
  <c r="AR7" i="1"/>
  <c r="AN7" i="1"/>
  <c r="AE7" i="1"/>
  <c r="AB7" i="1"/>
  <c r="AA7" i="1"/>
  <c r="AA8" i="1" s="1"/>
  <c r="X7" i="1"/>
  <c r="W7" i="1"/>
  <c r="W8" i="1" s="1"/>
  <c r="T7" i="1"/>
  <c r="S7" i="1"/>
  <c r="S8" i="1" s="1"/>
  <c r="P7" i="1"/>
  <c r="O7" i="1"/>
  <c r="O8" i="1" s="1"/>
  <c r="L7" i="1"/>
  <c r="K7" i="1"/>
  <c r="K8" i="1" s="1"/>
  <c r="H7" i="1"/>
  <c r="G7" i="1"/>
  <c r="G8" i="1" s="1"/>
  <c r="D5" i="1"/>
  <c r="E5" i="1" s="1"/>
  <c r="A5" i="1"/>
  <c r="E4" i="1"/>
  <c r="D4" i="1"/>
  <c r="D3" i="1" s="1"/>
  <c r="A4" i="1"/>
  <c r="C3" i="1"/>
  <c r="C766" i="1" s="1"/>
  <c r="C2" i="1"/>
  <c r="C2" i="11" s="1"/>
  <c r="H13" i="7"/>
  <c r="H11" i="7"/>
  <c r="H9" i="7"/>
  <c r="D195" i="10"/>
  <c r="D187" i="10"/>
  <c r="D181" i="10"/>
  <c r="D174" i="10"/>
  <c r="D166" i="10"/>
  <c r="D160" i="10"/>
  <c r="D153" i="10"/>
  <c r="D145" i="10"/>
  <c r="D141" i="10"/>
  <c r="D132" i="10"/>
  <c r="D126" i="10"/>
  <c r="D121" i="10"/>
  <c r="D110" i="10"/>
  <c r="D106" i="10"/>
  <c r="D208" i="10"/>
  <c r="D202" i="10"/>
  <c r="D188" i="10"/>
  <c r="D182" i="10"/>
  <c r="D178" i="10"/>
  <c r="D167" i="10"/>
  <c r="D161" i="10"/>
  <c r="D156" i="10"/>
  <c r="D146" i="10"/>
  <c r="D142" i="10"/>
  <c r="D135" i="10"/>
  <c r="D127" i="10"/>
  <c r="D123" i="10"/>
  <c r="D111" i="10"/>
  <c r="D107" i="10"/>
  <c r="D102" i="10"/>
  <c r="D209" i="10"/>
  <c r="D203" i="10"/>
  <c r="D191" i="10"/>
  <c r="D183" i="10"/>
  <c r="D179" i="10"/>
  <c r="D170" i="10"/>
  <c r="D162" i="10"/>
  <c r="D157" i="10"/>
  <c r="D149" i="10"/>
  <c r="D143" i="10"/>
  <c r="D138" i="10"/>
  <c r="D128" i="10"/>
  <c r="D124" i="10"/>
  <c r="D117" i="10"/>
  <c r="D114" i="10"/>
  <c r="D108" i="10"/>
  <c r="D103" i="10"/>
  <c r="D100" i="10"/>
  <c r="D194" i="10"/>
  <c r="D184" i="10"/>
  <c r="D180" i="10"/>
  <c r="D173" i="10"/>
  <c r="D163" i="10"/>
  <c r="D159" i="10"/>
  <c r="D150" i="10"/>
  <c r="D144" i="10"/>
  <c r="D139" i="10"/>
  <c r="D131" i="10"/>
  <c r="D125" i="10"/>
  <c r="D120" i="10"/>
  <c r="D115" i="10"/>
  <c r="D109" i="10"/>
  <c r="D104" i="10"/>
  <c r="D98" i="10"/>
  <c r="D91" i="10"/>
  <c r="D82" i="10"/>
  <c r="D78" i="10"/>
  <c r="D73" i="10"/>
  <c r="D66" i="10"/>
  <c r="D61" i="10"/>
  <c r="D58" i="10"/>
  <c r="D53" i="10"/>
  <c r="D50" i="10"/>
  <c r="D97" i="10"/>
  <c r="D81" i="10"/>
  <c r="D77" i="10"/>
  <c r="D71" i="10"/>
  <c r="D67" i="10"/>
  <c r="D62" i="10"/>
  <c r="D59" i="10"/>
  <c r="D54" i="10"/>
  <c r="D48" i="10"/>
  <c r="D39" i="10"/>
  <c r="D36" i="10"/>
  <c r="D31" i="10"/>
  <c r="D28" i="10"/>
  <c r="D23" i="10"/>
  <c r="D15" i="10"/>
  <c r="D8" i="10"/>
  <c r="D93" i="10"/>
  <c r="D89" i="10"/>
  <c r="D83" i="10"/>
  <c r="D79" i="10"/>
  <c r="D72" i="10"/>
  <c r="D49" i="10"/>
  <c r="D40" i="10"/>
  <c r="D37" i="10"/>
  <c r="D32" i="10"/>
  <c r="D24" i="10"/>
  <c r="D17" i="10"/>
  <c r="D12" i="10"/>
  <c r="D9" i="10"/>
  <c r="D94" i="10"/>
  <c r="D90" i="10"/>
  <c r="D70" i="10"/>
  <c r="D68" i="10"/>
  <c r="D63" i="10"/>
  <c r="D55" i="10"/>
  <c r="D41" i="10"/>
  <c r="D33" i="10"/>
  <c r="D26" i="10"/>
  <c r="D21" i="10"/>
  <c r="D18" i="10"/>
  <c r="D13" i="10"/>
  <c r="D10" i="10"/>
  <c r="D96" i="10"/>
  <c r="D92" i="10"/>
  <c r="D80" i="10"/>
  <c r="D64" i="10"/>
  <c r="D57" i="10"/>
  <c r="D52" i="10"/>
  <c r="D42" i="10"/>
  <c r="D35" i="10"/>
  <c r="D30" i="10"/>
  <c r="D27" i="10"/>
  <c r="D22" i="10"/>
  <c r="D19" i="10"/>
  <c r="D14" i="10"/>
  <c r="AU36" i="1" l="1"/>
  <c r="AU34" i="1" s="1"/>
  <c r="K32" i="1"/>
  <c r="K20" i="9" s="1"/>
  <c r="AQ36" i="1"/>
  <c r="AQ34" i="1" s="1"/>
  <c r="E2" i="9"/>
  <c r="E5" i="11"/>
  <c r="F5" i="1"/>
  <c r="E1" i="9"/>
  <c r="A4" i="11"/>
  <c r="B811" i="1"/>
  <c r="F4" i="1"/>
  <c r="S10" i="1"/>
  <c r="Q22" i="1"/>
  <c r="AA22" i="1"/>
  <c r="K23" i="1"/>
  <c r="K18" i="9" s="1"/>
  <c r="O23" i="1"/>
  <c r="O18" i="9" s="1"/>
  <c r="S23" i="1"/>
  <c r="S18" i="9" s="1"/>
  <c r="W23" i="1"/>
  <c r="W18" i="9" s="1"/>
  <c r="AA23" i="1"/>
  <c r="AA18" i="9" s="1"/>
  <c r="AE23" i="1"/>
  <c r="AE18" i="9" s="1"/>
  <c r="AI23" i="1"/>
  <c r="AI18" i="9" s="1"/>
  <c r="AM23" i="1"/>
  <c r="AM18" i="9" s="1"/>
  <c r="AQ23" i="1"/>
  <c r="AQ18" i="9" s="1"/>
  <c r="AU23" i="1"/>
  <c r="AU18" i="9" s="1"/>
  <c r="N25" i="1"/>
  <c r="S25" i="1"/>
  <c r="X25" i="1"/>
  <c r="AH25" i="1"/>
  <c r="AR25" i="1"/>
  <c r="AW25" i="1"/>
  <c r="AB55" i="1"/>
  <c r="AN56" i="1"/>
  <c r="AN55" i="1"/>
  <c r="AV56" i="1"/>
  <c r="P59" i="1"/>
  <c r="U59" i="1"/>
  <c r="AJ175" i="1"/>
  <c r="AO175" i="1"/>
  <c r="AO59" i="1"/>
  <c r="AD83" i="1"/>
  <c r="AL84" i="1"/>
  <c r="BA178" i="1"/>
  <c r="BA89" i="1"/>
  <c r="BB86" i="1"/>
  <c r="AB103" i="1"/>
  <c r="AN104" i="1"/>
  <c r="AN103" i="1"/>
  <c r="AV104" i="1"/>
  <c r="AR124" i="1"/>
  <c r="AR123" i="1"/>
  <c r="F151" i="1"/>
  <c r="J151" i="1"/>
  <c r="N151" i="1"/>
  <c r="R151" i="1"/>
  <c r="V151" i="1"/>
  <c r="Z151" i="1"/>
  <c r="AM154" i="1"/>
  <c r="AM155" i="1"/>
  <c r="AM156" i="1"/>
  <c r="AT192" i="1"/>
  <c r="AT714" i="1" s="1"/>
  <c r="AT201" i="1"/>
  <c r="E3" i="1"/>
  <c r="E766" i="1" s="1"/>
  <c r="O10" i="1"/>
  <c r="R22" i="1"/>
  <c r="W22" i="1"/>
  <c r="AQ22" i="1"/>
  <c r="O25" i="1"/>
  <c r="T25" i="1"/>
  <c r="AI25" i="1"/>
  <c r="M28" i="1"/>
  <c r="U28" i="1"/>
  <c r="AW55" i="1"/>
  <c r="AW56" i="1"/>
  <c r="AA162" i="1"/>
  <c r="AG84" i="1"/>
  <c r="AS83" i="1"/>
  <c r="AS84" i="1"/>
  <c r="AW103" i="1"/>
  <c r="AW104" i="1"/>
  <c r="AA164" i="1"/>
  <c r="AM124" i="1"/>
  <c r="AM123" i="1"/>
  <c r="G151" i="1"/>
  <c r="K151" i="1"/>
  <c r="O151" i="1"/>
  <c r="S151" i="1"/>
  <c r="W151" i="1"/>
  <c r="AI154" i="1"/>
  <c r="AI155" i="1"/>
  <c r="AI156" i="1"/>
  <c r="M192" i="1"/>
  <c r="M714" i="1" s="1"/>
  <c r="M201" i="1"/>
  <c r="U192" i="1"/>
  <c r="U714" i="1" s="1"/>
  <c r="U201" i="1"/>
  <c r="AH192" i="1"/>
  <c r="AH714" i="1" s="1"/>
  <c r="AH201" i="1"/>
  <c r="AP192" i="1"/>
  <c r="AP714" i="1" s="1"/>
  <c r="AU201" i="1"/>
  <c r="AU192" i="1"/>
  <c r="AU714" i="1" s="1"/>
  <c r="AT200" i="1"/>
  <c r="AT202" i="1"/>
  <c r="D1" i="9"/>
  <c r="D766" i="1"/>
  <c r="B2" i="9"/>
  <c r="C3" i="11"/>
  <c r="A5" i="11"/>
  <c r="C4" i="11"/>
  <c r="O11" i="1"/>
  <c r="O27" i="9" s="1"/>
  <c r="S11" i="1"/>
  <c r="S27" i="9" s="1"/>
  <c r="W11" i="1"/>
  <c r="W27" i="9" s="1"/>
  <c r="AA11" i="1"/>
  <c r="AA27" i="9" s="1"/>
  <c r="N22" i="1"/>
  <c r="S22" i="1"/>
  <c r="AM22" i="1"/>
  <c r="N28" i="1"/>
  <c r="O30" i="1" s="1"/>
  <c r="R28" i="1"/>
  <c r="Z28" i="1"/>
  <c r="Z32" i="1" s="1"/>
  <c r="Z20" i="9" s="1"/>
  <c r="AH28" i="1"/>
  <c r="AP28" i="1"/>
  <c r="AT28" i="1"/>
  <c r="AN176" i="1"/>
  <c r="AR55" i="1"/>
  <c r="AR56" i="1"/>
  <c r="AB83" i="1"/>
  <c r="AE82" i="1"/>
  <c r="AH84" i="1"/>
  <c r="AH83" i="1"/>
  <c r="AR103" i="1"/>
  <c r="AR104" i="1"/>
  <c r="AB123" i="1"/>
  <c r="AN124" i="1"/>
  <c r="AN123" i="1"/>
  <c r="AV124" i="1"/>
  <c r="AY180" i="1"/>
  <c r="AY129" i="1"/>
  <c r="AY191" i="1"/>
  <c r="AY138" i="1"/>
  <c r="AA154" i="1"/>
  <c r="AU154" i="1"/>
  <c r="AA155" i="1"/>
  <c r="AU155" i="1"/>
  <c r="AA156" i="1"/>
  <c r="AU156" i="1"/>
  <c r="F192" i="1"/>
  <c r="F714" i="1" s="1"/>
  <c r="N192" i="1"/>
  <c r="N714" i="1" s="1"/>
  <c r="R192" i="1"/>
  <c r="R714" i="1" s="1"/>
  <c r="R201" i="1"/>
  <c r="Z192" i="1"/>
  <c r="Z714" i="1" s="1"/>
  <c r="Z201" i="1"/>
  <c r="AA181" i="1"/>
  <c r="AE201" i="1"/>
  <c r="AE192" i="1"/>
  <c r="AE714" i="1" s="1"/>
  <c r="AI192" i="1"/>
  <c r="AI714" i="1" s="1"/>
  <c r="AQ201" i="1"/>
  <c r="AQ192" i="1"/>
  <c r="AQ714" i="1" s="1"/>
  <c r="AT199" i="1"/>
  <c r="AH200" i="1"/>
  <c r="AP200" i="1"/>
  <c r="AU200" i="1"/>
  <c r="AP202" i="1"/>
  <c r="AU202" i="1"/>
  <c r="C784" i="1"/>
  <c r="C782" i="1" s="1"/>
  <c r="C779" i="1"/>
  <c r="C772" i="1"/>
  <c r="C786" i="1"/>
  <c r="C777" i="1"/>
  <c r="C775" i="1" s="1"/>
  <c r="C483" i="1" s="1"/>
  <c r="C770" i="1"/>
  <c r="C768" i="1" s="1"/>
  <c r="C482" i="1" s="1"/>
  <c r="D2" i="9"/>
  <c r="D5" i="11"/>
  <c r="O22" i="1"/>
  <c r="AI22" i="1"/>
  <c r="M25" i="1"/>
  <c r="AG25" i="1"/>
  <c r="AV25" i="1"/>
  <c r="AG56" i="1"/>
  <c r="AS56" i="1"/>
  <c r="AS55" i="1"/>
  <c r="AH196" i="1"/>
  <c r="AW83" i="1"/>
  <c r="AW84" i="1"/>
  <c r="AG104" i="1"/>
  <c r="AM103" i="1"/>
  <c r="AS104" i="1"/>
  <c r="AS103" i="1"/>
  <c r="AI124" i="1"/>
  <c r="AI123" i="1"/>
  <c r="AQ124" i="1"/>
  <c r="AB153" i="1"/>
  <c r="AV153" i="1"/>
  <c r="AB154" i="1"/>
  <c r="AQ154" i="1"/>
  <c r="AV154" i="1"/>
  <c r="AQ155" i="1"/>
  <c r="AQ156" i="1"/>
  <c r="G201" i="1"/>
  <c r="G192" i="1"/>
  <c r="G714" i="1" s="1"/>
  <c r="K201" i="1"/>
  <c r="K192" i="1"/>
  <c r="K714" i="1" s="1"/>
  <c r="O201" i="1"/>
  <c r="O192" i="1"/>
  <c r="O714" i="1" s="1"/>
  <c r="S201" i="1"/>
  <c r="S192" i="1"/>
  <c r="S714" i="1" s="1"/>
  <c r="W201" i="1"/>
  <c r="W192" i="1"/>
  <c r="W714" i="1" s="1"/>
  <c r="M195" i="1"/>
  <c r="U195" i="1"/>
  <c r="AT198" i="1"/>
  <c r="AH199" i="1"/>
  <c r="AP199" i="1"/>
  <c r="AU199" i="1"/>
  <c r="AE200" i="1"/>
  <c r="AI200" i="1"/>
  <c r="AQ200" i="1"/>
  <c r="AQ202" i="1"/>
  <c r="Z42" i="1"/>
  <c r="Z159" i="1" s="1"/>
  <c r="AC44" i="1"/>
  <c r="AH44" i="1"/>
  <c r="AM44" i="1"/>
  <c r="AH45" i="1"/>
  <c r="AL45" i="1"/>
  <c r="AI46" i="1"/>
  <c r="AI160" i="1" s="1"/>
  <c r="AM46" i="1"/>
  <c r="AM160" i="1" s="1"/>
  <c r="AA49" i="1"/>
  <c r="AI49" i="1"/>
  <c r="AI161" i="1" s="1"/>
  <c r="AM49" i="1"/>
  <c r="AM161" i="1" s="1"/>
  <c r="AQ49" i="1"/>
  <c r="AQ161" i="1" s="1"/>
  <c r="AD54" i="1"/>
  <c r="AD55" i="1" s="1"/>
  <c r="AH54" i="1"/>
  <c r="AL54" i="1"/>
  <c r="AM55" i="1" s="1"/>
  <c r="Z58" i="1"/>
  <c r="Z59" i="1" s="1"/>
  <c r="L59" i="1"/>
  <c r="AB59" i="1"/>
  <c r="AF59" i="1"/>
  <c r="AN59" i="1"/>
  <c r="AC60" i="1"/>
  <c r="AC176" i="1" s="1"/>
  <c r="AG60" i="1"/>
  <c r="AY62" i="1"/>
  <c r="AH70" i="1"/>
  <c r="AL70" i="1"/>
  <c r="AB77" i="1"/>
  <c r="AB162" i="1" s="1"/>
  <c r="AN77" i="1"/>
  <c r="AN162" i="1" s="1"/>
  <c r="AR77" i="1"/>
  <c r="AR162" i="1" s="1"/>
  <c r="AV77" i="1"/>
  <c r="AV162" i="1" s="1"/>
  <c r="AX78" i="1"/>
  <c r="AI82" i="1"/>
  <c r="AN84" i="1" s="1"/>
  <c r="AM82" i="1"/>
  <c r="AQ82" i="1"/>
  <c r="AZ89" i="1"/>
  <c r="AS93" i="1"/>
  <c r="AS15" i="9" s="1"/>
  <c r="AA97" i="1"/>
  <c r="AI97" i="1"/>
  <c r="AI163" i="1" s="1"/>
  <c r="AM97" i="1"/>
  <c r="AM163" i="1" s="1"/>
  <c r="AQ97" i="1"/>
  <c r="AQ163" i="1" s="1"/>
  <c r="AD102" i="1"/>
  <c r="AD103" i="1" s="1"/>
  <c r="AH102" i="1"/>
  <c r="AL102" i="1"/>
  <c r="AQ104" i="1" s="1"/>
  <c r="BA106" i="1"/>
  <c r="AY109" i="1"/>
  <c r="AU112" i="1"/>
  <c r="AE116" i="1"/>
  <c r="AD117" i="1"/>
  <c r="AD164" i="1" s="1"/>
  <c r="AH117" i="1"/>
  <c r="AH164" i="1" s="1"/>
  <c r="AL117" i="1"/>
  <c r="AL164" i="1" s="1"/>
  <c r="AX117" i="1"/>
  <c r="AX164" i="1" s="1"/>
  <c r="AX165" i="1" s="1"/>
  <c r="AC122" i="1"/>
  <c r="AC123" i="1" s="1"/>
  <c r="AG122" i="1"/>
  <c r="AS122" i="1"/>
  <c r="AW122" i="1"/>
  <c r="AZ126" i="1"/>
  <c r="AX129" i="1"/>
  <c r="AS132" i="1"/>
  <c r="AZ136" i="1"/>
  <c r="H137" i="1"/>
  <c r="M137" i="1"/>
  <c r="R137" i="1"/>
  <c r="W137" i="1"/>
  <c r="AB137" i="1"/>
  <c r="AG137" i="1"/>
  <c r="AL137" i="1"/>
  <c r="M138" i="1"/>
  <c r="Q138" i="1"/>
  <c r="U138" i="1"/>
  <c r="Y138" i="1"/>
  <c r="AC138" i="1"/>
  <c r="AG138" i="1"/>
  <c r="AK138" i="1"/>
  <c r="AO138" i="1"/>
  <c r="AS138" i="1"/>
  <c r="AB143" i="1"/>
  <c r="AF143" i="1"/>
  <c r="AN143" i="1"/>
  <c r="H148" i="1"/>
  <c r="H9" i="1" s="1"/>
  <c r="L148" i="1"/>
  <c r="L9" i="1" s="1"/>
  <c r="P148" i="1"/>
  <c r="P9" i="1" s="1"/>
  <c r="T148" i="1"/>
  <c r="T9" i="1" s="1"/>
  <c r="X148" i="1"/>
  <c r="X9" i="1" s="1"/>
  <c r="AB148" i="1"/>
  <c r="AB9" i="1" s="1"/>
  <c r="AF148" i="1"/>
  <c r="AF9" i="1" s="1"/>
  <c r="AN148" i="1"/>
  <c r="AN9" i="1" s="1"/>
  <c r="AR148" i="1"/>
  <c r="AR9" i="1" s="1"/>
  <c r="AV148" i="1"/>
  <c r="AV9" i="1" s="1"/>
  <c r="F150" i="1"/>
  <c r="F157" i="1" s="1"/>
  <c r="J150" i="1"/>
  <c r="J157" i="1" s="1"/>
  <c r="N150" i="1"/>
  <c r="N157" i="1" s="1"/>
  <c r="R150" i="1"/>
  <c r="R157" i="1" s="1"/>
  <c r="V150" i="1"/>
  <c r="V157" i="1" s="1"/>
  <c r="Z150" i="1"/>
  <c r="Z157" i="1" s="1"/>
  <c r="AA153" i="1"/>
  <c r="AA157" i="1" s="1"/>
  <c r="AI153" i="1"/>
  <c r="AI157" i="1" s="1"/>
  <c r="AM153" i="1"/>
  <c r="AM157" i="1" s="1"/>
  <c r="AQ153" i="1"/>
  <c r="AQ157" i="1" s="1"/>
  <c r="AU153" i="1"/>
  <c r="AU157" i="1" s="1"/>
  <c r="L159" i="1"/>
  <c r="AF159" i="1"/>
  <c r="AF175" i="1"/>
  <c r="AX178" i="1"/>
  <c r="AZ179" i="1"/>
  <c r="AX180" i="1"/>
  <c r="AB185" i="1"/>
  <c r="AF185" i="1"/>
  <c r="AJ185" i="1"/>
  <c r="AN185" i="1"/>
  <c r="H190" i="1"/>
  <c r="L190" i="1"/>
  <c r="P190" i="1"/>
  <c r="T190" i="1"/>
  <c r="X190" i="1"/>
  <c r="AB190" i="1"/>
  <c r="AF190" i="1"/>
  <c r="AJ190" i="1"/>
  <c r="AN190" i="1"/>
  <c r="AR190" i="1"/>
  <c r="AV190" i="1"/>
  <c r="I191" i="1"/>
  <c r="Q191" i="1"/>
  <c r="Y191" i="1"/>
  <c r="Y192" i="1" s="1"/>
  <c r="AC191" i="1"/>
  <c r="AK191" i="1"/>
  <c r="AO191" i="1"/>
  <c r="AS191" i="1"/>
  <c r="M194" i="1"/>
  <c r="U194" i="1"/>
  <c r="AH197" i="1"/>
  <c r="AP197" i="1"/>
  <c r="AT197" i="1"/>
  <c r="C211" i="1"/>
  <c r="G211" i="1"/>
  <c r="K211" i="1"/>
  <c r="O212" i="1"/>
  <c r="W212" i="1"/>
  <c r="AE212" i="1"/>
  <c r="AM212" i="1"/>
  <c r="G216" i="1"/>
  <c r="C227" i="1"/>
  <c r="G227" i="1"/>
  <c r="D232" i="1"/>
  <c r="H232" i="1"/>
  <c r="L232" i="1"/>
  <c r="P232" i="1"/>
  <c r="C214" i="1"/>
  <c r="C216" i="1" s="1"/>
  <c r="C343" i="1"/>
  <c r="C347" i="1" s="1"/>
  <c r="C349" i="1" s="1"/>
  <c r="C314" i="1"/>
  <c r="O35" i="9"/>
  <c r="O313" i="1"/>
  <c r="O57" i="9" s="1"/>
  <c r="AS35" i="9"/>
  <c r="AS313" i="1"/>
  <c r="AS57" i="9" s="1"/>
  <c r="H367" i="1"/>
  <c r="H372" i="1" s="1"/>
  <c r="H351" i="1"/>
  <c r="M367" i="1"/>
  <c r="M372" i="1" s="1"/>
  <c r="M354" i="1"/>
  <c r="M359" i="1" s="1"/>
  <c r="M395" i="1" s="1"/>
  <c r="M351" i="1"/>
  <c r="R367" i="1"/>
  <c r="R372" i="1" s="1"/>
  <c r="R354" i="1"/>
  <c r="R359" i="1" s="1"/>
  <c r="R395" i="1" s="1"/>
  <c r="R351" i="1"/>
  <c r="W354" i="1"/>
  <c r="W359" i="1" s="1"/>
  <c r="W395" i="1" s="1"/>
  <c r="W351" i="1"/>
  <c r="AA354" i="1"/>
  <c r="AA359" i="1" s="1"/>
  <c r="AA395" i="1" s="1"/>
  <c r="AA351" i="1"/>
  <c r="AF711" i="1"/>
  <c r="AF354" i="1"/>
  <c r="AF359" i="1" s="1"/>
  <c r="AF395" i="1" s="1"/>
  <c r="AF351" i="1"/>
  <c r="AK354" i="1"/>
  <c r="AK359" i="1" s="1"/>
  <c r="AK395" i="1" s="1"/>
  <c r="AK351" i="1"/>
  <c r="AP354" i="1"/>
  <c r="AP359" i="1" s="1"/>
  <c r="AP395" i="1" s="1"/>
  <c r="AP351" i="1"/>
  <c r="AT354" i="1"/>
  <c r="AT351" i="1"/>
  <c r="AN36" i="9"/>
  <c r="T38" i="9"/>
  <c r="J37" i="9"/>
  <c r="J322" i="1"/>
  <c r="J59" i="9" s="1"/>
  <c r="AN37" i="9"/>
  <c r="Y460" i="1"/>
  <c r="J41" i="9"/>
  <c r="AD41" i="9"/>
  <c r="J43" i="9"/>
  <c r="AD43" i="9"/>
  <c r="L108" i="9"/>
  <c r="L402" i="1"/>
  <c r="L406" i="1" s="1"/>
  <c r="L389" i="1"/>
  <c r="L235" i="1"/>
  <c r="L323" i="1"/>
  <c r="L61" i="9" s="1"/>
  <c r="L394" i="1"/>
  <c r="L329" i="1" s="1"/>
  <c r="L63" i="9" s="1"/>
  <c r="AF108" i="9"/>
  <c r="AF402" i="1"/>
  <c r="AF406" i="1" s="1"/>
  <c r="AF389" i="1"/>
  <c r="AF235" i="1"/>
  <c r="AF323" i="1"/>
  <c r="AF61" i="9" s="1"/>
  <c r="AF394" i="1"/>
  <c r="AF329" i="1" s="1"/>
  <c r="AF63" i="9" s="1"/>
  <c r="AF418" i="1"/>
  <c r="K42" i="1"/>
  <c r="K159" i="1" s="1"/>
  <c r="AE42" i="1"/>
  <c r="AE159" i="1" s="1"/>
  <c r="AD44" i="1"/>
  <c r="AI44" i="1"/>
  <c r="AN44" i="1"/>
  <c r="AI45" i="1"/>
  <c r="AM45" i="1"/>
  <c r="AB46" i="1"/>
  <c r="AB160" i="1" s="1"/>
  <c r="AN46" i="1"/>
  <c r="AN160" i="1" s="1"/>
  <c r="AB49" i="1"/>
  <c r="AB161" i="1" s="1"/>
  <c r="AN49" i="1"/>
  <c r="AN161" i="1" s="1"/>
  <c r="AR49" i="1"/>
  <c r="AR161" i="1" s="1"/>
  <c r="AV49" i="1"/>
  <c r="AV161" i="1" s="1"/>
  <c r="AX50" i="1"/>
  <c r="AE58" i="1"/>
  <c r="Q59" i="1"/>
  <c r="AC59" i="1"/>
  <c r="AG59" i="1"/>
  <c r="AK59" i="1"/>
  <c r="AD60" i="1"/>
  <c r="AD176" i="1" s="1"/>
  <c r="AH60" i="1"/>
  <c r="AL60" i="1"/>
  <c r="AZ62" i="1"/>
  <c r="AX65" i="1"/>
  <c r="AI70" i="1"/>
  <c r="AM70" i="1"/>
  <c r="AS72" i="1"/>
  <c r="AC77" i="1"/>
  <c r="AC162" i="1" s="1"/>
  <c r="AG77" i="1"/>
  <c r="AG162" i="1" s="1"/>
  <c r="AS77" i="1"/>
  <c r="AS162" i="1" s="1"/>
  <c r="AW77" i="1"/>
  <c r="AW162" i="1" s="1"/>
  <c r="AB97" i="1"/>
  <c r="AB163" i="1" s="1"/>
  <c r="AN97" i="1"/>
  <c r="AN163" i="1" s="1"/>
  <c r="AR97" i="1"/>
  <c r="AR163" i="1" s="1"/>
  <c r="AV97" i="1"/>
  <c r="AV163" i="1" s="1"/>
  <c r="AX98" i="1"/>
  <c r="AZ109" i="1"/>
  <c r="AS113" i="1"/>
  <c r="AS16" i="9" s="1"/>
  <c r="AI117" i="1"/>
  <c r="AI164" i="1" s="1"/>
  <c r="AM117" i="1"/>
  <c r="AM164" i="1" s="1"/>
  <c r="AQ117" i="1"/>
  <c r="AQ164" i="1" s="1"/>
  <c r="AU132" i="1"/>
  <c r="N137" i="1"/>
  <c r="S137" i="1"/>
  <c r="X137" i="1"/>
  <c r="AH137" i="1"/>
  <c r="AM137" i="1"/>
  <c r="N138" i="1"/>
  <c r="R138" i="1"/>
  <c r="V138" i="1"/>
  <c r="Z138" i="1"/>
  <c r="AD138" i="1"/>
  <c r="AH138" i="1"/>
  <c r="AL138" i="1"/>
  <c r="AP138" i="1"/>
  <c r="AX138" i="1"/>
  <c r="AC143" i="1"/>
  <c r="AG143" i="1"/>
  <c r="AK143" i="1"/>
  <c r="I148" i="1"/>
  <c r="I9" i="1" s="1"/>
  <c r="N11" i="1" s="1"/>
  <c r="N27" i="9" s="1"/>
  <c r="M148" i="1"/>
  <c r="M9" i="1" s="1"/>
  <c r="N10" i="1" s="1"/>
  <c r="Q148" i="1"/>
  <c r="Q9" i="1" s="1"/>
  <c r="V11" i="1" s="1"/>
  <c r="V27" i="9" s="1"/>
  <c r="U148" i="1"/>
  <c r="U9" i="1" s="1"/>
  <c r="Y148" i="1"/>
  <c r="Y9" i="1" s="1"/>
  <c r="AC148" i="1"/>
  <c r="AC9" i="1" s="1"/>
  <c r="AG148" i="1"/>
  <c r="AG9" i="1" s="1"/>
  <c r="AK148" i="1"/>
  <c r="AK9" i="1" s="1"/>
  <c r="AS148" i="1"/>
  <c r="AS9" i="1" s="1"/>
  <c r="AU10" i="1" s="1"/>
  <c r="AW148" i="1"/>
  <c r="AW9" i="1" s="1"/>
  <c r="G150" i="1"/>
  <c r="G157" i="1" s="1"/>
  <c r="K150" i="1"/>
  <c r="K157" i="1" s="1"/>
  <c r="O150" i="1"/>
  <c r="O157" i="1" s="1"/>
  <c r="S150" i="1"/>
  <c r="S157" i="1" s="1"/>
  <c r="W150" i="1"/>
  <c r="W157" i="1" s="1"/>
  <c r="Q159" i="1"/>
  <c r="AK159" i="1"/>
  <c r="AK175" i="1"/>
  <c r="AY178" i="1"/>
  <c r="AS186" i="1"/>
  <c r="AS188" i="1"/>
  <c r="AC190" i="1"/>
  <c r="AG190" i="1"/>
  <c r="AK190" i="1"/>
  <c r="AO190" i="1"/>
  <c r="AW190" i="1"/>
  <c r="J191" i="1"/>
  <c r="J192" i="1" s="1"/>
  <c r="V191" i="1"/>
  <c r="AD191" i="1"/>
  <c r="AL191" i="1"/>
  <c r="AL192" i="1" s="1"/>
  <c r="AX191" i="1"/>
  <c r="F194" i="1"/>
  <c r="N194" i="1"/>
  <c r="R194" i="1"/>
  <c r="Z194" i="1"/>
  <c r="AE197" i="1"/>
  <c r="AI197" i="1"/>
  <c r="AQ197" i="1"/>
  <c r="AU197" i="1"/>
  <c r="D211" i="1"/>
  <c r="H211" i="1"/>
  <c r="L211" i="1"/>
  <c r="P211" i="1"/>
  <c r="H216" i="1"/>
  <c r="C222" i="1"/>
  <c r="G222" i="1"/>
  <c r="H227" i="1"/>
  <c r="I232" i="1"/>
  <c r="Y34" i="9"/>
  <c r="AD116" i="9" s="1"/>
  <c r="Y617" i="1"/>
  <c r="Y616" i="1"/>
  <c r="Y619" i="1"/>
  <c r="Y618" i="1"/>
  <c r="Y322" i="1"/>
  <c r="Y59" i="9" s="1"/>
  <c r="Y313" i="1"/>
  <c r="Y57" i="9" s="1"/>
  <c r="Y383" i="1"/>
  <c r="Y388" i="1" s="1"/>
  <c r="Y328" i="1"/>
  <c r="Y317" i="1"/>
  <c r="Y327" i="1"/>
  <c r="Y321" i="1"/>
  <c r="Y58" i="9" s="1"/>
  <c r="AS34" i="9"/>
  <c r="AS617" i="1"/>
  <c r="AS616" i="1"/>
  <c r="AS619" i="1"/>
  <c r="AS618" i="1"/>
  <c r="AS383" i="1"/>
  <c r="AS388" i="1" s="1"/>
  <c r="AS328" i="1"/>
  <c r="AS327" i="1"/>
  <c r="D343" i="1"/>
  <c r="D347" i="1" s="1"/>
  <c r="D349" i="1" s="1"/>
  <c r="D314" i="1"/>
  <c r="D214" i="1"/>
  <c r="T35" i="9"/>
  <c r="E374" i="1"/>
  <c r="E376" i="1" s="1"/>
  <c r="E351" i="1"/>
  <c r="I367" i="1"/>
  <c r="I372" i="1" s="1"/>
  <c r="I351" i="1"/>
  <c r="N367" i="1"/>
  <c r="N372" i="1" s="1"/>
  <c r="N354" i="1"/>
  <c r="N359" i="1" s="1"/>
  <c r="N395" i="1" s="1"/>
  <c r="N351" i="1"/>
  <c r="S367" i="1"/>
  <c r="S372" i="1" s="1"/>
  <c r="S354" i="1"/>
  <c r="S359" i="1" s="1"/>
  <c r="S395" i="1" s="1"/>
  <c r="S351" i="1"/>
  <c r="X354" i="1"/>
  <c r="X359" i="1" s="1"/>
  <c r="X395" i="1" s="1"/>
  <c r="X351" i="1"/>
  <c r="AB354" i="1"/>
  <c r="AB359" i="1" s="1"/>
  <c r="AB395" i="1" s="1"/>
  <c r="AB351" i="1"/>
  <c r="AG354" i="1"/>
  <c r="AG359" i="1" s="1"/>
  <c r="AG395" i="1" s="1"/>
  <c r="AG351" i="1"/>
  <c r="AL354" i="1"/>
  <c r="AL359" i="1" s="1"/>
  <c r="AL395" i="1" s="1"/>
  <c r="AL351" i="1"/>
  <c r="AQ354" i="1"/>
  <c r="AQ359" i="1" s="1"/>
  <c r="AQ395" i="1" s="1"/>
  <c r="AQ351" i="1"/>
  <c r="AU354" i="1"/>
  <c r="AU359" i="1" s="1"/>
  <c r="AU395" i="1" s="1"/>
  <c r="AU351" i="1"/>
  <c r="AS36" i="9"/>
  <c r="AS321" i="1"/>
  <c r="AS58" i="9" s="1"/>
  <c r="AI38" i="9"/>
  <c r="AI317" i="1"/>
  <c r="O37" i="9"/>
  <c r="O322" i="1"/>
  <c r="O59" i="9" s="1"/>
  <c r="AS37" i="9"/>
  <c r="AS322" i="1"/>
  <c r="AS59" i="9" s="1"/>
  <c r="J460" i="1"/>
  <c r="AD460" i="1"/>
  <c r="O43" i="9"/>
  <c r="AN43" i="9"/>
  <c r="AB108" i="9"/>
  <c r="AB402" i="1"/>
  <c r="AB406" i="1" s="1"/>
  <c r="AB389" i="1"/>
  <c r="AB235" i="1"/>
  <c r="AB323" i="1"/>
  <c r="AB61" i="9" s="1"/>
  <c r="AB394" i="1"/>
  <c r="AB329" i="1" s="1"/>
  <c r="AB63" i="9" s="1"/>
  <c r="AV108" i="9"/>
  <c r="AV402" i="1"/>
  <c r="AV406" i="1" s="1"/>
  <c r="AV389" i="1"/>
  <c r="AV235" i="1"/>
  <c r="AV323" i="1"/>
  <c r="AV61" i="9" s="1"/>
  <c r="AV394" i="1"/>
  <c r="AV329" i="1" s="1"/>
  <c r="AV63" i="9" s="1"/>
  <c r="AF44" i="1"/>
  <c r="AK44" i="1"/>
  <c r="AF45" i="1"/>
  <c r="AN45" i="1"/>
  <c r="AG46" i="1"/>
  <c r="AG160" i="1" s="1"/>
  <c r="AC49" i="1"/>
  <c r="AC161" i="1" s="1"/>
  <c r="AG49" i="1"/>
  <c r="AG161" i="1" s="1"/>
  <c r="AS49" i="1"/>
  <c r="AS161" i="1" s="1"/>
  <c r="AW49" i="1"/>
  <c r="AW161" i="1" s="1"/>
  <c r="AD59" i="1"/>
  <c r="AH59" i="1"/>
  <c r="AL59" i="1"/>
  <c r="AA60" i="1"/>
  <c r="AI60" i="1"/>
  <c r="AM60" i="1"/>
  <c r="AF70" i="1"/>
  <c r="AJ70" i="1"/>
  <c r="AU72" i="1"/>
  <c r="AE76" i="1"/>
  <c r="AD77" i="1"/>
  <c r="AD162" i="1" s="1"/>
  <c r="AH77" i="1"/>
  <c r="AH162" i="1" s="1"/>
  <c r="AL77" i="1"/>
  <c r="AL162" i="1" s="1"/>
  <c r="AS92" i="1"/>
  <c r="AC97" i="1"/>
  <c r="AC163" i="1" s="1"/>
  <c r="AG97" i="1"/>
  <c r="AG163" i="1" s="1"/>
  <c r="AS97" i="1"/>
  <c r="AS163" i="1" s="1"/>
  <c r="AW97" i="1"/>
  <c r="AW163" i="1" s="1"/>
  <c r="AB117" i="1"/>
  <c r="AB164" i="1" s="1"/>
  <c r="AN117" i="1"/>
  <c r="AN164" i="1" s="1"/>
  <c r="AR117" i="1"/>
  <c r="AR164" i="1" s="1"/>
  <c r="AV117" i="1"/>
  <c r="AV164" i="1" s="1"/>
  <c r="AS133" i="1"/>
  <c r="AS17" i="9" s="1"/>
  <c r="O137" i="1"/>
  <c r="T137" i="1"/>
  <c r="AI137" i="1"/>
  <c r="AN137" i="1"/>
  <c r="AS137" i="1"/>
  <c r="K138" i="1"/>
  <c r="O138" i="1"/>
  <c r="S138" i="1"/>
  <c r="W138" i="1"/>
  <c r="AA138" i="1"/>
  <c r="AE138" i="1"/>
  <c r="AI138" i="1"/>
  <c r="AM138" i="1"/>
  <c r="AD143" i="1"/>
  <c r="AH143" i="1"/>
  <c r="AL143" i="1"/>
  <c r="AL152" i="1" s="1"/>
  <c r="AD148" i="1"/>
  <c r="AD9" i="1" s="1"/>
  <c r="AH148" i="1"/>
  <c r="AH9" i="1" s="1"/>
  <c r="AM11" i="1" s="1"/>
  <c r="AM27" i="9" s="1"/>
  <c r="AL148" i="1"/>
  <c r="AL9" i="1" s="1"/>
  <c r="AP148" i="1"/>
  <c r="AP9" i="1" s="1"/>
  <c r="AZ178" i="1"/>
  <c r="AX179" i="1"/>
  <c r="AA191" i="1"/>
  <c r="AM191" i="1"/>
  <c r="G194" i="1"/>
  <c r="K194" i="1"/>
  <c r="O194" i="1"/>
  <c r="S194" i="1"/>
  <c r="W194" i="1"/>
  <c r="E211" i="1"/>
  <c r="I211" i="1"/>
  <c r="M211" i="1"/>
  <c r="Q211" i="1"/>
  <c r="U211" i="1"/>
  <c r="Y211" i="1"/>
  <c r="E215" i="1"/>
  <c r="I216" i="1"/>
  <c r="H222" i="1"/>
  <c r="I227" i="1"/>
  <c r="J34" i="9"/>
  <c r="J383" i="1"/>
  <c r="J328" i="1"/>
  <c r="J327" i="1"/>
  <c r="AD34" i="9"/>
  <c r="AD616" i="1"/>
  <c r="AD621" i="1" s="1"/>
  <c r="AD619" i="1"/>
  <c r="AD624" i="1" s="1"/>
  <c r="AD618" i="1"/>
  <c r="AD617" i="1"/>
  <c r="AD622" i="1" s="1"/>
  <c r="AD383" i="1"/>
  <c r="AD388" i="1" s="1"/>
  <c r="AD328" i="1"/>
  <c r="AD317" i="1"/>
  <c r="AD327" i="1"/>
  <c r="AD321" i="1"/>
  <c r="AD58" i="9" s="1"/>
  <c r="AD322" i="1"/>
  <c r="AD59" i="9" s="1"/>
  <c r="AD313" i="1"/>
  <c r="AD57" i="9" s="1"/>
  <c r="E35" i="9"/>
  <c r="E313" i="1"/>
  <c r="E57" i="9" s="1"/>
  <c r="AI35" i="9"/>
  <c r="AI313" i="1"/>
  <c r="AI57" i="9" s="1"/>
  <c r="F374" i="1"/>
  <c r="F376" i="1" s="1"/>
  <c r="F351" i="1"/>
  <c r="K374" i="1"/>
  <c r="K376" i="1" s="1"/>
  <c r="K367" i="1"/>
  <c r="K372" i="1" s="1"/>
  <c r="K351" i="1"/>
  <c r="P367" i="1"/>
  <c r="P372" i="1" s="1"/>
  <c r="P354" i="1"/>
  <c r="P359" i="1" s="1"/>
  <c r="P395" i="1" s="1"/>
  <c r="P351" i="1"/>
  <c r="U367" i="1"/>
  <c r="U372" i="1" s="1"/>
  <c r="U354" i="1"/>
  <c r="U359" i="1" s="1"/>
  <c r="U395" i="1" s="1"/>
  <c r="U351" i="1"/>
  <c r="Y51" i="9"/>
  <c r="Y330" i="1"/>
  <c r="AC354" i="1"/>
  <c r="AC359" i="1" s="1"/>
  <c r="AC395" i="1" s="1"/>
  <c r="AC351" i="1"/>
  <c r="AH354" i="1"/>
  <c r="AH359" i="1" s="1"/>
  <c r="AH395" i="1" s="1"/>
  <c r="AH351" i="1"/>
  <c r="AM354" i="1"/>
  <c r="AM359" i="1" s="1"/>
  <c r="AM395" i="1" s="1"/>
  <c r="AM351" i="1"/>
  <c r="AR354" i="1"/>
  <c r="AR359" i="1" s="1"/>
  <c r="AR395" i="1" s="1"/>
  <c r="AR351" i="1"/>
  <c r="AV711" i="1"/>
  <c r="AV354" i="1"/>
  <c r="AV359" i="1" s="1"/>
  <c r="AV395" i="1" s="1"/>
  <c r="AV351" i="1"/>
  <c r="T36" i="9"/>
  <c r="J38" i="9"/>
  <c r="J60" i="9" s="1"/>
  <c r="J317" i="1"/>
  <c r="AN38" i="9"/>
  <c r="T37" i="9"/>
  <c r="O460" i="1"/>
  <c r="AN460" i="1"/>
  <c r="T43" i="9"/>
  <c r="AS43" i="9"/>
  <c r="X108" i="9"/>
  <c r="X402" i="1"/>
  <c r="X406" i="1" s="1"/>
  <c r="X711" i="1" s="1"/>
  <c r="X389" i="1"/>
  <c r="X235" i="1"/>
  <c r="X323" i="1"/>
  <c r="X61" i="9" s="1"/>
  <c r="X394" i="1"/>
  <c r="X329" i="1" s="1"/>
  <c r="X63" i="9" s="1"/>
  <c r="AR108" i="9"/>
  <c r="AR402" i="1"/>
  <c r="AR406" i="1" s="1"/>
  <c r="AR389" i="1"/>
  <c r="AR235" i="1"/>
  <c r="AR323" i="1"/>
  <c r="AR61" i="9" s="1"/>
  <c r="AR394" i="1"/>
  <c r="AR329" i="1" s="1"/>
  <c r="AR63" i="9" s="1"/>
  <c r="AB44" i="1"/>
  <c r="AG44" i="1"/>
  <c r="AL44" i="1"/>
  <c r="AA59" i="1"/>
  <c r="AI59" i="1"/>
  <c r="AM59" i="1"/>
  <c r="AU92" i="1"/>
  <c r="L137" i="1"/>
  <c r="AF137" i="1"/>
  <c r="AP137" i="1"/>
  <c r="L138" i="1"/>
  <c r="P138" i="1"/>
  <c r="T138" i="1"/>
  <c r="X138" i="1"/>
  <c r="AB138" i="1"/>
  <c r="AF138" i="1"/>
  <c r="AJ138" i="1"/>
  <c r="AN138" i="1"/>
  <c r="I222" i="1"/>
  <c r="N223" i="1" s="1"/>
  <c r="N228" i="1"/>
  <c r="C232" i="1"/>
  <c r="G232" i="1"/>
  <c r="O34" i="9"/>
  <c r="O619" i="1"/>
  <c r="O618" i="1"/>
  <c r="O617" i="1"/>
  <c r="O616" i="1"/>
  <c r="O383" i="1"/>
  <c r="O328" i="1"/>
  <c r="O327" i="1"/>
  <c r="AI34" i="9"/>
  <c r="AI619" i="1"/>
  <c r="AI624" i="1" s="1"/>
  <c r="AI618" i="1"/>
  <c r="AI623" i="1" s="1"/>
  <c r="AI617" i="1"/>
  <c r="AI622" i="1" s="1"/>
  <c r="AI616" i="1"/>
  <c r="AI383" i="1"/>
  <c r="AI328" i="1"/>
  <c r="AI327" i="1"/>
  <c r="J35" i="9"/>
  <c r="J313" i="1"/>
  <c r="J57" i="9" s="1"/>
  <c r="AN35" i="9"/>
  <c r="G374" i="1"/>
  <c r="G376" i="1" s="1"/>
  <c r="G367" i="1"/>
  <c r="G372" i="1" s="1"/>
  <c r="G351" i="1"/>
  <c r="L711" i="1"/>
  <c r="L367" i="1"/>
  <c r="L372" i="1" s="1"/>
  <c r="L354" i="1"/>
  <c r="L359" i="1" s="1"/>
  <c r="L395" i="1" s="1"/>
  <c r="L351" i="1"/>
  <c r="Q367" i="1"/>
  <c r="Q372" i="1" s="1"/>
  <c r="Q354" i="1"/>
  <c r="Q359" i="1" s="1"/>
  <c r="Q395" i="1" s="1"/>
  <c r="Q351" i="1"/>
  <c r="V354" i="1"/>
  <c r="V359" i="1" s="1"/>
  <c r="V395" i="1" s="1"/>
  <c r="V351" i="1"/>
  <c r="Z354" i="1"/>
  <c r="Z359" i="1" s="1"/>
  <c r="Z395" i="1" s="1"/>
  <c r="Z351" i="1"/>
  <c r="AE354" i="1"/>
  <c r="AE359" i="1" s="1"/>
  <c r="AE395" i="1" s="1"/>
  <c r="AE351" i="1"/>
  <c r="AJ711" i="1"/>
  <c r="AJ354" i="1"/>
  <c r="AJ359" i="1" s="1"/>
  <c r="AJ395" i="1" s="1"/>
  <c r="AJ351" i="1"/>
  <c r="AO354" i="1"/>
  <c r="AO359" i="1" s="1"/>
  <c r="AO395" i="1" s="1"/>
  <c r="AO351" i="1"/>
  <c r="AW354" i="1"/>
  <c r="AW359" i="1" s="1"/>
  <c r="AW395" i="1" s="1"/>
  <c r="AW351" i="1"/>
  <c r="O38" i="9"/>
  <c r="O60" i="9" s="1"/>
  <c r="O317" i="1"/>
  <c r="AS38" i="9"/>
  <c r="AS60" i="9" s="1"/>
  <c r="AS317" i="1"/>
  <c r="AI37" i="9"/>
  <c r="AI322" i="1"/>
  <c r="AI59" i="9" s="1"/>
  <c r="T460" i="1"/>
  <c r="AS460" i="1"/>
  <c r="Y43" i="9"/>
  <c r="P108" i="9"/>
  <c r="P109" i="9" s="1"/>
  <c r="P402" i="1"/>
  <c r="P406" i="1" s="1"/>
  <c r="P389" i="1"/>
  <c r="P235" i="1"/>
  <c r="P323" i="1"/>
  <c r="P61" i="9" s="1"/>
  <c r="P394" i="1"/>
  <c r="P329" i="1" s="1"/>
  <c r="P63" i="9" s="1"/>
  <c r="AJ108" i="9"/>
  <c r="AJ109" i="9" s="1"/>
  <c r="AJ402" i="1"/>
  <c r="AJ406" i="1" s="1"/>
  <c r="AJ389" i="1"/>
  <c r="AJ235" i="1"/>
  <c r="AJ323" i="1"/>
  <c r="AJ61" i="9" s="1"/>
  <c r="AJ394" i="1"/>
  <c r="AJ329" i="1" s="1"/>
  <c r="AJ63" i="9" s="1"/>
  <c r="S43" i="9"/>
  <c r="W43" i="9"/>
  <c r="AA43" i="9"/>
  <c r="AE43" i="9"/>
  <c r="AI43" i="9"/>
  <c r="AM43" i="9"/>
  <c r="AQ43" i="9"/>
  <c r="AU43" i="9"/>
  <c r="AU209" i="1"/>
  <c r="AU211" i="1" s="1"/>
  <c r="AZ211" i="1" s="1"/>
  <c r="F215" i="1"/>
  <c r="N215" i="1"/>
  <c r="R215" i="1"/>
  <c r="V215" i="1"/>
  <c r="Z215" i="1"/>
  <c r="AH215" i="1"/>
  <c r="AL215" i="1"/>
  <c r="AP215" i="1"/>
  <c r="AT215" i="1"/>
  <c r="K216" i="1"/>
  <c r="S216" i="1"/>
  <c r="W216" i="1"/>
  <c r="AA216" i="1"/>
  <c r="AE216" i="1"/>
  <c r="AM216" i="1"/>
  <c r="AQ216" i="1"/>
  <c r="AU216" i="1"/>
  <c r="F221" i="1"/>
  <c r="N221" i="1"/>
  <c r="R221" i="1"/>
  <c r="V221" i="1"/>
  <c r="Z221" i="1"/>
  <c r="AD221" i="1"/>
  <c r="AH221" i="1"/>
  <c r="AL221" i="1"/>
  <c r="AP221" i="1"/>
  <c r="AT221" i="1"/>
  <c r="K222" i="1"/>
  <c r="O222" i="1"/>
  <c r="S222" i="1"/>
  <c r="W222" i="1"/>
  <c r="W223" i="1" s="1"/>
  <c r="AA222" i="1"/>
  <c r="AE222" i="1"/>
  <c r="AI222" i="1"/>
  <c r="AM222" i="1"/>
  <c r="AQ222" i="1"/>
  <c r="AU222" i="1"/>
  <c r="AZ222" i="1" s="1"/>
  <c r="F226" i="1"/>
  <c r="N226" i="1"/>
  <c r="R226" i="1"/>
  <c r="V226" i="1"/>
  <c r="Z226" i="1"/>
  <c r="AD226" i="1"/>
  <c r="AH226" i="1"/>
  <c r="AL226" i="1"/>
  <c r="AP226" i="1"/>
  <c r="AT226" i="1"/>
  <c r="K227" i="1"/>
  <c r="O227" i="1"/>
  <c r="S227" i="1"/>
  <c r="W227" i="1"/>
  <c r="AA227" i="1"/>
  <c r="AE227" i="1"/>
  <c r="AI227" i="1"/>
  <c r="AM227" i="1"/>
  <c r="AQ227" i="1"/>
  <c r="AU227" i="1"/>
  <c r="AZ227" i="1" s="1"/>
  <c r="D231" i="1"/>
  <c r="L231" i="1"/>
  <c r="P231" i="1"/>
  <c r="T231" i="1"/>
  <c r="X231" i="1"/>
  <c r="AB231" i="1"/>
  <c r="AF231" i="1"/>
  <c r="AJ231" i="1"/>
  <c r="AN231" i="1"/>
  <c r="AR231" i="1"/>
  <c r="AV231" i="1"/>
  <c r="E232" i="1"/>
  <c r="E233" i="1" s="1"/>
  <c r="M232" i="1"/>
  <c r="M233" i="1" s="1"/>
  <c r="Q232" i="1"/>
  <c r="Q233" i="1" s="1"/>
  <c r="U232" i="1"/>
  <c r="U233" i="1" s="1"/>
  <c r="Y232" i="1"/>
  <c r="Y233" i="1" s="1"/>
  <c r="AC232" i="1"/>
  <c r="AC233" i="1" s="1"/>
  <c r="AG232" i="1"/>
  <c r="AG233" i="1" s="1"/>
  <c r="AK232" i="1"/>
  <c r="AK233" i="1" s="1"/>
  <c r="AO232" i="1"/>
  <c r="AO233" i="1" s="1"/>
  <c r="AS232" i="1"/>
  <c r="AW232" i="1"/>
  <c r="AW233" i="1" s="1"/>
  <c r="AH253" i="1"/>
  <c r="F59" i="9"/>
  <c r="F720" i="1"/>
  <c r="N59" i="9"/>
  <c r="N720" i="1"/>
  <c r="R59" i="9"/>
  <c r="R720" i="1"/>
  <c r="V59" i="9"/>
  <c r="V720" i="1"/>
  <c r="Z59" i="9"/>
  <c r="Z720" i="1"/>
  <c r="AH59" i="9"/>
  <c r="AH720" i="1"/>
  <c r="AL59" i="9"/>
  <c r="AL720" i="1"/>
  <c r="AP59" i="9"/>
  <c r="AP720" i="1"/>
  <c r="AT59" i="9"/>
  <c r="AT720" i="1"/>
  <c r="J338" i="1"/>
  <c r="AD338" i="1"/>
  <c r="AS342" i="1"/>
  <c r="AS343" i="1" s="1"/>
  <c r="AS347" i="1" s="1"/>
  <c r="AS349" i="1" s="1"/>
  <c r="E34" i="9"/>
  <c r="E617" i="1"/>
  <c r="E616" i="1"/>
  <c r="E619" i="1"/>
  <c r="E618" i="1"/>
  <c r="M34" i="9"/>
  <c r="M617" i="1"/>
  <c r="M616" i="1"/>
  <c r="M619" i="1"/>
  <c r="M618" i="1"/>
  <c r="Q34" i="9"/>
  <c r="Q617" i="1"/>
  <c r="Q616" i="1"/>
  <c r="Q619" i="1"/>
  <c r="Q618" i="1"/>
  <c r="U34" i="9"/>
  <c r="U617" i="1"/>
  <c r="U616" i="1"/>
  <c r="U619" i="1"/>
  <c r="U618" i="1"/>
  <c r="AC34" i="9"/>
  <c r="AC617" i="1"/>
  <c r="AC616" i="1"/>
  <c r="AC619" i="1"/>
  <c r="AC618" i="1"/>
  <c r="AG34" i="9"/>
  <c r="AG617" i="1"/>
  <c r="AG616" i="1"/>
  <c r="AG619" i="1"/>
  <c r="AG618" i="1"/>
  <c r="AK34" i="9"/>
  <c r="AK617" i="1"/>
  <c r="AK616" i="1"/>
  <c r="AK619" i="1"/>
  <c r="AK618" i="1"/>
  <c r="AO34" i="9"/>
  <c r="AO617" i="1"/>
  <c r="AO616" i="1"/>
  <c r="AO619" i="1"/>
  <c r="AO618" i="1"/>
  <c r="AW34" i="9"/>
  <c r="AW617" i="1"/>
  <c r="AW616" i="1"/>
  <c r="AW619" i="1"/>
  <c r="AW618" i="1"/>
  <c r="C382" i="1"/>
  <c r="G39" i="9"/>
  <c r="H383" i="1"/>
  <c r="H388" i="1" s="1"/>
  <c r="E60" i="9"/>
  <c r="I60" i="9"/>
  <c r="Q60" i="9"/>
  <c r="U60" i="9"/>
  <c r="Y60" i="9"/>
  <c r="AC60" i="9"/>
  <c r="AK60" i="9"/>
  <c r="AO60" i="9"/>
  <c r="AW60" i="9"/>
  <c r="J386" i="1"/>
  <c r="F644" i="1"/>
  <c r="F628" i="1"/>
  <c r="F639" i="1" s="1"/>
  <c r="J644" i="1"/>
  <c r="J628" i="1"/>
  <c r="N644" i="1"/>
  <c r="N628" i="1"/>
  <c r="R644" i="1"/>
  <c r="R628" i="1"/>
  <c r="V644" i="1"/>
  <c r="V628" i="1"/>
  <c r="Z644" i="1"/>
  <c r="Z628" i="1"/>
  <c r="Z639" i="1" s="1"/>
  <c r="AD644" i="1"/>
  <c r="AD628" i="1"/>
  <c r="AH644" i="1"/>
  <c r="AH628" i="1"/>
  <c r="AL644" i="1"/>
  <c r="AL628" i="1"/>
  <c r="AP644" i="1"/>
  <c r="AP628" i="1"/>
  <c r="AT644" i="1"/>
  <c r="AT628" i="1"/>
  <c r="AT639" i="1" s="1"/>
  <c r="F40" i="9"/>
  <c r="F460" i="1"/>
  <c r="N40" i="9"/>
  <c r="N460" i="1"/>
  <c r="R40" i="9"/>
  <c r="R460" i="1"/>
  <c r="V40" i="9"/>
  <c r="V460" i="1"/>
  <c r="Z40" i="9"/>
  <c r="Z460" i="1"/>
  <c r="AH40" i="9"/>
  <c r="AH460" i="1"/>
  <c r="AL40" i="9"/>
  <c r="AL460" i="1"/>
  <c r="AP40" i="9"/>
  <c r="AP460" i="1"/>
  <c r="AT40" i="9"/>
  <c r="AT460" i="1"/>
  <c r="F404" i="1"/>
  <c r="N404" i="1"/>
  <c r="R404" i="1"/>
  <c r="V404" i="1"/>
  <c r="Z404" i="1"/>
  <c r="AH404" i="1"/>
  <c r="AL404" i="1"/>
  <c r="AP404" i="1"/>
  <c r="AT404" i="1"/>
  <c r="D68" i="9"/>
  <c r="D645" i="1"/>
  <c r="D629" i="1"/>
  <c r="H68" i="9"/>
  <c r="H645" i="1"/>
  <c r="H629" i="1"/>
  <c r="L68" i="9"/>
  <c r="L645" i="1"/>
  <c r="L629" i="1"/>
  <c r="E445" i="1"/>
  <c r="I445" i="1"/>
  <c r="M445" i="1"/>
  <c r="Q445" i="1"/>
  <c r="U445" i="1"/>
  <c r="Z445" i="1"/>
  <c r="AE445" i="1"/>
  <c r="AJ445" i="1"/>
  <c r="AO445" i="1"/>
  <c r="AT445" i="1"/>
  <c r="AY455" i="1"/>
  <c r="AZ455" i="1" s="1"/>
  <c r="F104" i="9"/>
  <c r="F89" i="9"/>
  <c r="F469" i="1"/>
  <c r="F468" i="1"/>
  <c r="J104" i="9"/>
  <c r="J89" i="9"/>
  <c r="N89" i="9"/>
  <c r="N104" i="9"/>
  <c r="R89" i="9"/>
  <c r="R104" i="9"/>
  <c r="V104" i="9"/>
  <c r="V89" i="9"/>
  <c r="Z104" i="9"/>
  <c r="Z89" i="9"/>
  <c r="Z468" i="1"/>
  <c r="AD89" i="9"/>
  <c r="AD104" i="9"/>
  <c r="AH89" i="9"/>
  <c r="AH104" i="9"/>
  <c r="AL104" i="9"/>
  <c r="AL89" i="9"/>
  <c r="AP104" i="9"/>
  <c r="AP89" i="9"/>
  <c r="AT89" i="9"/>
  <c r="AT104" i="9"/>
  <c r="AD568" i="1"/>
  <c r="Y634" i="1"/>
  <c r="AS634" i="1"/>
  <c r="AD74" i="9"/>
  <c r="BC548" i="1"/>
  <c r="F548" i="1"/>
  <c r="J548" i="1"/>
  <c r="N548" i="1"/>
  <c r="R548" i="1"/>
  <c r="V548" i="1"/>
  <c r="AA548" i="1"/>
  <c r="AF548" i="1"/>
  <c r="AK548" i="1"/>
  <c r="AP548" i="1"/>
  <c r="AU548" i="1"/>
  <c r="AZ548" i="1"/>
  <c r="BE548" i="1"/>
  <c r="AL430" i="1"/>
  <c r="AL575" i="1"/>
  <c r="AL361" i="1" s="1"/>
  <c r="AL365" i="1" s="1"/>
  <c r="L216" i="1"/>
  <c r="P216" i="1"/>
  <c r="X216" i="1"/>
  <c r="AB216" i="1"/>
  <c r="AF216" i="1"/>
  <c r="AJ216" i="1"/>
  <c r="AR216" i="1"/>
  <c r="AR218" i="1" s="1"/>
  <c r="AV216" i="1"/>
  <c r="AV218" i="1" s="1"/>
  <c r="D222" i="1"/>
  <c r="D223" i="1" s="1"/>
  <c r="L222" i="1"/>
  <c r="L223" i="1" s="1"/>
  <c r="P222" i="1"/>
  <c r="P223" i="1" s="1"/>
  <c r="T222" i="1"/>
  <c r="T223" i="1" s="1"/>
  <c r="X222" i="1"/>
  <c r="X223" i="1" s="1"/>
  <c r="AB222" i="1"/>
  <c r="AB223" i="1" s="1"/>
  <c r="AF222" i="1"/>
  <c r="AF223" i="1" s="1"/>
  <c r="AJ222" i="1"/>
  <c r="AJ223" i="1" s="1"/>
  <c r="AN222" i="1"/>
  <c r="AN223" i="1" s="1"/>
  <c r="AR222" i="1"/>
  <c r="AR223" i="1" s="1"/>
  <c r="AV222" i="1"/>
  <c r="BA222" i="1" s="1"/>
  <c r="D227" i="1"/>
  <c r="D228" i="1" s="1"/>
  <c r="L227" i="1"/>
  <c r="L228" i="1" s="1"/>
  <c r="P227" i="1"/>
  <c r="P228" i="1" s="1"/>
  <c r="T227" i="1"/>
  <c r="T228" i="1" s="1"/>
  <c r="X227" i="1"/>
  <c r="X228" i="1" s="1"/>
  <c r="AB227" i="1"/>
  <c r="AB228" i="1" s="1"/>
  <c r="AF227" i="1"/>
  <c r="AF228" i="1" s="1"/>
  <c r="AJ227" i="1"/>
  <c r="AJ228" i="1" s="1"/>
  <c r="AN227" i="1"/>
  <c r="AN228" i="1" s="1"/>
  <c r="AR227" i="1"/>
  <c r="AR228" i="1" s="1"/>
  <c r="AV227" i="1"/>
  <c r="F232" i="1"/>
  <c r="N232" i="1"/>
  <c r="R232" i="1"/>
  <c r="V232" i="1"/>
  <c r="Z232" i="1"/>
  <c r="AD232" i="1"/>
  <c r="AH232" i="1"/>
  <c r="AL232" i="1"/>
  <c r="AP232" i="1"/>
  <c r="AT232" i="1"/>
  <c r="C59" i="9"/>
  <c r="C720" i="1"/>
  <c r="G59" i="9"/>
  <c r="G720" i="1"/>
  <c r="K59" i="9"/>
  <c r="K720" i="1"/>
  <c r="S59" i="9"/>
  <c r="S720" i="1"/>
  <c r="W59" i="9"/>
  <c r="W720" i="1"/>
  <c r="AA59" i="9"/>
  <c r="AA720" i="1"/>
  <c r="AE59" i="9"/>
  <c r="AE720" i="1"/>
  <c r="AM59" i="9"/>
  <c r="AM720" i="1"/>
  <c r="AQ59" i="9"/>
  <c r="AQ720" i="1"/>
  <c r="AU59" i="9"/>
  <c r="AU720" i="1"/>
  <c r="Y720" i="1"/>
  <c r="AS720" i="1"/>
  <c r="O338" i="1"/>
  <c r="AI338" i="1"/>
  <c r="F34" i="9"/>
  <c r="F616" i="1"/>
  <c r="F621" i="1" s="1"/>
  <c r="F619" i="1"/>
  <c r="F624" i="1" s="1"/>
  <c r="F618" i="1"/>
  <c r="F623" i="1" s="1"/>
  <c r="F617" i="1"/>
  <c r="F622" i="1" s="1"/>
  <c r="N34" i="9"/>
  <c r="N116" i="9" s="1"/>
  <c r="N616" i="1"/>
  <c r="N619" i="1"/>
  <c r="N618" i="1"/>
  <c r="N617" i="1"/>
  <c r="R34" i="9"/>
  <c r="R616" i="1"/>
  <c r="R621" i="1" s="1"/>
  <c r="R619" i="1"/>
  <c r="R624" i="1" s="1"/>
  <c r="R618" i="1"/>
  <c r="R623" i="1" s="1"/>
  <c r="R617" i="1"/>
  <c r="R622" i="1" s="1"/>
  <c r="V34" i="9"/>
  <c r="Z34" i="9"/>
  <c r="Z616" i="1"/>
  <c r="Z621" i="1" s="1"/>
  <c r="Z619" i="1"/>
  <c r="Z624" i="1" s="1"/>
  <c r="Z618" i="1"/>
  <c r="Z623" i="1" s="1"/>
  <c r="Z617" i="1"/>
  <c r="Z622" i="1" s="1"/>
  <c r="AH34" i="9"/>
  <c r="AH616" i="1"/>
  <c r="AH621" i="1" s="1"/>
  <c r="AH619" i="1"/>
  <c r="AH624" i="1" s="1"/>
  <c r="AH618" i="1"/>
  <c r="AH623" i="1" s="1"/>
  <c r="AH617" i="1"/>
  <c r="AH622" i="1" s="1"/>
  <c r="AL34" i="9"/>
  <c r="AL616" i="1"/>
  <c r="AL621" i="1" s="1"/>
  <c r="AL619" i="1"/>
  <c r="AL624" i="1" s="1"/>
  <c r="AL618" i="1"/>
  <c r="AL623" i="1" s="1"/>
  <c r="AL617" i="1"/>
  <c r="AL622" i="1" s="1"/>
  <c r="AP34" i="9"/>
  <c r="AT34" i="9"/>
  <c r="AT616" i="1"/>
  <c r="AT621" i="1" s="1"/>
  <c r="AT619" i="1"/>
  <c r="AT624" i="1" s="1"/>
  <c r="AT618" i="1"/>
  <c r="AT623" i="1" s="1"/>
  <c r="AT617" i="1"/>
  <c r="AT622" i="1" s="1"/>
  <c r="D382" i="1"/>
  <c r="H39" i="9"/>
  <c r="H131" i="9" s="1"/>
  <c r="E383" i="1"/>
  <c r="E388" i="1" s="1"/>
  <c r="I383" i="1"/>
  <c r="I388" i="1" s="1"/>
  <c r="M383" i="1"/>
  <c r="M388" i="1" s="1"/>
  <c r="Q383" i="1"/>
  <c r="Q388" i="1" s="1"/>
  <c r="U383" i="1"/>
  <c r="U388" i="1" s="1"/>
  <c r="AC383" i="1"/>
  <c r="AC388" i="1" s="1"/>
  <c r="AG383" i="1"/>
  <c r="AG388" i="1" s="1"/>
  <c r="AK383" i="1"/>
  <c r="AK388" i="1" s="1"/>
  <c r="AO383" i="1"/>
  <c r="AO388" i="1" s="1"/>
  <c r="AW383" i="1"/>
  <c r="AW388" i="1" s="1"/>
  <c r="F60" i="9"/>
  <c r="N60" i="9"/>
  <c r="R60" i="9"/>
  <c r="Z60" i="9"/>
  <c r="AD60" i="9"/>
  <c r="AH60" i="9"/>
  <c r="AL60" i="9"/>
  <c r="AT60" i="9"/>
  <c r="O386" i="1"/>
  <c r="AI386" i="1"/>
  <c r="G644" i="1"/>
  <c r="G628" i="1"/>
  <c r="K644" i="1"/>
  <c r="K628" i="1"/>
  <c r="K639" i="1" s="1"/>
  <c r="O644" i="1"/>
  <c r="O628" i="1"/>
  <c r="S644" i="1"/>
  <c r="S628" i="1"/>
  <c r="W644" i="1"/>
  <c r="W628" i="1"/>
  <c r="AA644" i="1"/>
  <c r="AA628" i="1"/>
  <c r="AE644" i="1"/>
  <c r="AE628" i="1"/>
  <c r="AE639" i="1" s="1"/>
  <c r="AI644" i="1"/>
  <c r="AI628" i="1"/>
  <c r="AM644" i="1"/>
  <c r="AM628" i="1"/>
  <c r="AQ644" i="1"/>
  <c r="AQ628" i="1"/>
  <c r="AU644" i="1"/>
  <c r="AU628" i="1"/>
  <c r="C40" i="9"/>
  <c r="C460" i="1"/>
  <c r="C464" i="1" s="1"/>
  <c r="G40" i="9"/>
  <c r="G460" i="1"/>
  <c r="K40" i="9"/>
  <c r="K460" i="1"/>
  <c r="S40" i="9"/>
  <c r="S460" i="1"/>
  <c r="W40" i="9"/>
  <c r="W460" i="1"/>
  <c r="AA40" i="9"/>
  <c r="AA460" i="1"/>
  <c r="AE40" i="9"/>
  <c r="AE460" i="1"/>
  <c r="AI460" i="1"/>
  <c r="AM40" i="9"/>
  <c r="AM460" i="1"/>
  <c r="AQ40" i="9"/>
  <c r="AQ460" i="1"/>
  <c r="AU40" i="9"/>
  <c r="AU460" i="1"/>
  <c r="AF41" i="9"/>
  <c r="AJ41" i="9"/>
  <c r="AR41" i="9"/>
  <c r="AV41" i="9"/>
  <c r="E67" i="9"/>
  <c r="E447" i="1"/>
  <c r="E448" i="1" s="1"/>
  <c r="E449" i="1" s="1"/>
  <c r="E450" i="1" s="1"/>
  <c r="E431" i="1"/>
  <c r="M67" i="9"/>
  <c r="M447" i="1"/>
  <c r="M448" i="1" s="1"/>
  <c r="M449" i="1" s="1"/>
  <c r="M450" i="1" s="1"/>
  <c r="M431" i="1"/>
  <c r="U67" i="9"/>
  <c r="U447" i="1"/>
  <c r="U448" i="1" s="1"/>
  <c r="U449" i="1" s="1"/>
  <c r="U450" i="1" s="1"/>
  <c r="U431" i="1"/>
  <c r="AC67" i="9"/>
  <c r="AC447" i="1"/>
  <c r="AC448" i="1" s="1"/>
  <c r="AC449" i="1" s="1"/>
  <c r="AC450" i="1" s="1"/>
  <c r="AC431" i="1"/>
  <c r="AK67" i="9"/>
  <c r="AK447" i="1"/>
  <c r="AK448" i="1" s="1"/>
  <c r="AK449" i="1" s="1"/>
  <c r="AK450" i="1" s="1"/>
  <c r="AK431" i="1"/>
  <c r="F445" i="1"/>
  <c r="J445" i="1"/>
  <c r="N445" i="1"/>
  <c r="R445" i="1"/>
  <c r="V445" i="1"/>
  <c r="AA445" i="1"/>
  <c r="AF445" i="1"/>
  <c r="AK445" i="1"/>
  <c r="AP445" i="1"/>
  <c r="AU445" i="1"/>
  <c r="Y445" i="1"/>
  <c r="AS445" i="1"/>
  <c r="AI74" i="9"/>
  <c r="C548" i="1"/>
  <c r="C551" i="1" s="1"/>
  <c r="D550" i="1" s="1"/>
  <c r="G548" i="1"/>
  <c r="K548" i="1"/>
  <c r="O548" i="1"/>
  <c r="S548" i="1"/>
  <c r="W548" i="1"/>
  <c r="AB548" i="1"/>
  <c r="AG548" i="1"/>
  <c r="AL548" i="1"/>
  <c r="AQ548" i="1"/>
  <c r="AV548" i="1"/>
  <c r="BA548" i="1"/>
  <c r="BF548" i="1"/>
  <c r="T575" i="1"/>
  <c r="T361" i="1" s="1"/>
  <c r="T365" i="1" s="1"/>
  <c r="T430" i="1"/>
  <c r="AH430" i="1"/>
  <c r="AH575" i="1"/>
  <c r="AH361" i="1" s="1"/>
  <c r="AH365" i="1" s="1"/>
  <c r="E216" i="1"/>
  <c r="M216" i="1"/>
  <c r="M218" i="1" s="1"/>
  <c r="Q216" i="1"/>
  <c r="Q218" i="1" s="1"/>
  <c r="U216" i="1"/>
  <c r="U218" i="1" s="1"/>
  <c r="Y216" i="1"/>
  <c r="AC216" i="1"/>
  <c r="AC218" i="1" s="1"/>
  <c r="AG216" i="1"/>
  <c r="AG218" i="1" s="1"/>
  <c r="AK216" i="1"/>
  <c r="AK218" i="1" s="1"/>
  <c r="AO216" i="1"/>
  <c r="AO218" i="1" s="1"/>
  <c r="AS216" i="1"/>
  <c r="AW216" i="1"/>
  <c r="E222" i="1"/>
  <c r="F223" i="1" s="1"/>
  <c r="M222" i="1"/>
  <c r="R223" i="1" s="1"/>
  <c r="Q222" i="1"/>
  <c r="V223" i="1" s="1"/>
  <c r="U222" i="1"/>
  <c r="Z223" i="1" s="1"/>
  <c r="Y222" i="1"/>
  <c r="AD223" i="1" s="1"/>
  <c r="AC222" i="1"/>
  <c r="AH223" i="1" s="1"/>
  <c r="AG222" i="1"/>
  <c r="AL223" i="1" s="1"/>
  <c r="AK222" i="1"/>
  <c r="AP223" i="1" s="1"/>
  <c r="AO222" i="1"/>
  <c r="AT223" i="1" s="1"/>
  <c r="AS222" i="1"/>
  <c r="AX222" i="1" s="1"/>
  <c r="AW222" i="1"/>
  <c r="BB222" i="1" s="1"/>
  <c r="E227" i="1"/>
  <c r="F228" i="1" s="1"/>
  <c r="M227" i="1"/>
  <c r="M228" i="1" s="1"/>
  <c r="Q227" i="1"/>
  <c r="V228" i="1" s="1"/>
  <c r="U227" i="1"/>
  <c r="Z228" i="1" s="1"/>
  <c r="Y227" i="1"/>
  <c r="AD228" i="1" s="1"/>
  <c r="AC227" i="1"/>
  <c r="AH228" i="1" s="1"/>
  <c r="AG227" i="1"/>
  <c r="AL228" i="1" s="1"/>
  <c r="AK227" i="1"/>
  <c r="AP228" i="1" s="1"/>
  <c r="AO227" i="1"/>
  <c r="AT228" i="1" s="1"/>
  <c r="AS227" i="1"/>
  <c r="AW227" i="1"/>
  <c r="K232" i="1"/>
  <c r="K233" i="1" s="1"/>
  <c r="O232" i="1"/>
  <c r="O233" i="1" s="1"/>
  <c r="S232" i="1"/>
  <c r="S233" i="1" s="1"/>
  <c r="W232" i="1"/>
  <c r="W233" i="1" s="1"/>
  <c r="AA232" i="1"/>
  <c r="AA233" i="1" s="1"/>
  <c r="AE232" i="1"/>
  <c r="AE233" i="1" s="1"/>
  <c r="AI232" i="1"/>
  <c r="AI233" i="1" s="1"/>
  <c r="AM232" i="1"/>
  <c r="AM233" i="1" s="1"/>
  <c r="AQ232" i="1"/>
  <c r="AQ233" i="1" s="1"/>
  <c r="AU232" i="1"/>
  <c r="AU233" i="1" s="1"/>
  <c r="D59" i="9"/>
  <c r="D720" i="1"/>
  <c r="H59" i="9"/>
  <c r="H720" i="1"/>
  <c r="L59" i="9"/>
  <c r="L720" i="1"/>
  <c r="P59" i="9"/>
  <c r="P720" i="1"/>
  <c r="X59" i="9"/>
  <c r="X720" i="1"/>
  <c r="AB59" i="9"/>
  <c r="AB720" i="1"/>
  <c r="AF59" i="9"/>
  <c r="AF720" i="1"/>
  <c r="AJ59" i="9"/>
  <c r="AJ720" i="1"/>
  <c r="AR59" i="9"/>
  <c r="AR720" i="1"/>
  <c r="AV59" i="9"/>
  <c r="AV720" i="1"/>
  <c r="J720" i="1"/>
  <c r="AD720" i="1"/>
  <c r="T338" i="1"/>
  <c r="AN338" i="1"/>
  <c r="AS355" i="1"/>
  <c r="AT355" i="1" s="1"/>
  <c r="AS356" i="1"/>
  <c r="AT356" i="1" s="1"/>
  <c r="C34" i="9"/>
  <c r="C619" i="1"/>
  <c r="C618" i="1"/>
  <c r="C617" i="1"/>
  <c r="C616" i="1"/>
  <c r="K34" i="9"/>
  <c r="K619" i="1"/>
  <c r="K624" i="1" s="1"/>
  <c r="K618" i="1"/>
  <c r="K623" i="1" s="1"/>
  <c r="K617" i="1"/>
  <c r="K622" i="1" s="1"/>
  <c r="K616" i="1"/>
  <c r="K621" i="1" s="1"/>
  <c r="S34" i="9"/>
  <c r="S39" i="9" s="1"/>
  <c r="S619" i="1"/>
  <c r="S624" i="1" s="1"/>
  <c r="S618" i="1"/>
  <c r="S623" i="1" s="1"/>
  <c r="S617" i="1"/>
  <c r="S622" i="1" s="1"/>
  <c r="S616" i="1"/>
  <c r="S621" i="1" s="1"/>
  <c r="W34" i="9"/>
  <c r="W39" i="9" s="1"/>
  <c r="AA34" i="9"/>
  <c r="AA619" i="1"/>
  <c r="AA618" i="1"/>
  <c r="AA617" i="1"/>
  <c r="AA616" i="1"/>
  <c r="AE34" i="9"/>
  <c r="AE619" i="1"/>
  <c r="AE624" i="1" s="1"/>
  <c r="AE618" i="1"/>
  <c r="AE623" i="1" s="1"/>
  <c r="AE617" i="1"/>
  <c r="AE622" i="1" s="1"/>
  <c r="AE616" i="1"/>
  <c r="AE621" i="1" s="1"/>
  <c r="AM34" i="9"/>
  <c r="AM39" i="9" s="1"/>
  <c r="AM619" i="1"/>
  <c r="AM624" i="1" s="1"/>
  <c r="AM618" i="1"/>
  <c r="AM623" i="1" s="1"/>
  <c r="AM617" i="1"/>
  <c r="AM622" i="1" s="1"/>
  <c r="AM616" i="1"/>
  <c r="AM621" i="1" s="1"/>
  <c r="AQ34" i="9"/>
  <c r="AQ39" i="9" s="1"/>
  <c r="AU34" i="9"/>
  <c r="AU619" i="1"/>
  <c r="AU618" i="1"/>
  <c r="AU617" i="1"/>
  <c r="AU616" i="1"/>
  <c r="I39" i="9"/>
  <c r="Q39" i="9"/>
  <c r="U39" i="9"/>
  <c r="Y39" i="9"/>
  <c r="AC39" i="9"/>
  <c r="AG39" i="9"/>
  <c r="AK39" i="9"/>
  <c r="AO39" i="9"/>
  <c r="AW39" i="9"/>
  <c r="F383" i="1"/>
  <c r="F388" i="1" s="1"/>
  <c r="N383" i="1"/>
  <c r="N388" i="1" s="1"/>
  <c r="R383" i="1"/>
  <c r="R388" i="1" s="1"/>
  <c r="V383" i="1"/>
  <c r="V388" i="1" s="1"/>
  <c r="Z383" i="1"/>
  <c r="Z388" i="1" s="1"/>
  <c r="AH383" i="1"/>
  <c r="AH388" i="1" s="1"/>
  <c r="AL383" i="1"/>
  <c r="AL388" i="1" s="1"/>
  <c r="AP383" i="1"/>
  <c r="AP388" i="1" s="1"/>
  <c r="AT383" i="1"/>
  <c r="AT388" i="1" s="1"/>
  <c r="C60" i="9"/>
  <c r="G60" i="9"/>
  <c r="K60" i="9"/>
  <c r="S60" i="9"/>
  <c r="W60" i="9"/>
  <c r="AA60" i="9"/>
  <c r="AE60" i="9"/>
  <c r="AM60" i="9"/>
  <c r="AQ60" i="9"/>
  <c r="AU60" i="9"/>
  <c r="D644" i="1"/>
  <c r="D628" i="1"/>
  <c r="D639" i="1" s="1"/>
  <c r="H644" i="1"/>
  <c r="H628" i="1"/>
  <c r="L644" i="1"/>
  <c r="L628" i="1"/>
  <c r="P644" i="1"/>
  <c r="P628" i="1"/>
  <c r="P639" i="1" s="1"/>
  <c r="T644" i="1"/>
  <c r="T628" i="1"/>
  <c r="X644" i="1"/>
  <c r="X628" i="1"/>
  <c r="AB644" i="1"/>
  <c r="AB628" i="1"/>
  <c r="AF644" i="1"/>
  <c r="AF628" i="1"/>
  <c r="AJ644" i="1"/>
  <c r="AJ628" i="1"/>
  <c r="AJ639" i="1" s="1"/>
  <c r="AN644" i="1"/>
  <c r="AN628" i="1"/>
  <c r="AR644" i="1"/>
  <c r="AR628" i="1"/>
  <c r="AV644" i="1"/>
  <c r="AV628" i="1"/>
  <c r="D40" i="9"/>
  <c r="D460" i="1"/>
  <c r="H40" i="9"/>
  <c r="H460" i="1"/>
  <c r="L40" i="9"/>
  <c r="L460" i="1"/>
  <c r="P40" i="9"/>
  <c r="P460" i="1"/>
  <c r="X40" i="9"/>
  <c r="X460" i="1"/>
  <c r="AB40" i="9"/>
  <c r="AB460" i="1"/>
  <c r="AF40" i="9"/>
  <c r="AF460" i="1"/>
  <c r="AJ40" i="9"/>
  <c r="AJ460" i="1"/>
  <c r="AR40" i="9"/>
  <c r="AR460" i="1"/>
  <c r="AV40" i="9"/>
  <c r="AV460" i="1"/>
  <c r="M41" i="9"/>
  <c r="Q41" i="9"/>
  <c r="U41" i="9"/>
  <c r="AC41" i="9"/>
  <c r="AG41" i="9"/>
  <c r="AK41" i="9"/>
  <c r="AO41" i="9"/>
  <c r="AW41" i="9"/>
  <c r="Z721" i="1"/>
  <c r="L417" i="1"/>
  <c r="P417" i="1"/>
  <c r="X417" i="1"/>
  <c r="AB417" i="1"/>
  <c r="AF417" i="1"/>
  <c r="AJ417" i="1"/>
  <c r="AR417" i="1"/>
  <c r="AV417" i="1"/>
  <c r="O67" i="9"/>
  <c r="O80" i="9" s="1"/>
  <c r="O447" i="1"/>
  <c r="O448" i="1" s="1"/>
  <c r="O449" i="1" s="1"/>
  <c r="O450" i="1" s="1"/>
  <c r="O431" i="1"/>
  <c r="C445" i="1"/>
  <c r="G445" i="1"/>
  <c r="K445" i="1"/>
  <c r="O445" i="1"/>
  <c r="S445" i="1"/>
  <c r="W445" i="1"/>
  <c r="AB445" i="1"/>
  <c r="AG445" i="1"/>
  <c r="AL445" i="1"/>
  <c r="AQ445" i="1"/>
  <c r="AV445" i="1"/>
  <c r="AD445" i="1"/>
  <c r="AN74" i="9"/>
  <c r="D548" i="1"/>
  <c r="D551" i="1" s="1"/>
  <c r="E550" i="1" s="1"/>
  <c r="H548" i="1"/>
  <c r="L548" i="1"/>
  <c r="P548" i="1"/>
  <c r="T548" i="1"/>
  <c r="X548" i="1"/>
  <c r="AC548" i="1"/>
  <c r="AH548" i="1"/>
  <c r="AM548" i="1"/>
  <c r="AR548" i="1"/>
  <c r="AW548" i="1"/>
  <c r="BB548" i="1"/>
  <c r="BG548" i="1"/>
  <c r="Q575" i="1"/>
  <c r="Z430" i="1"/>
  <c r="Z575" i="1"/>
  <c r="Z361" i="1" s="1"/>
  <c r="Z365" i="1" s="1"/>
  <c r="AT430" i="1"/>
  <c r="AT575" i="1"/>
  <c r="AT361" i="1" s="1"/>
  <c r="AT365" i="1" s="1"/>
  <c r="E59" i="9"/>
  <c r="E720" i="1"/>
  <c r="I59" i="9"/>
  <c r="I720" i="1"/>
  <c r="M59" i="9"/>
  <c r="M720" i="1"/>
  <c r="Q59" i="9"/>
  <c r="Q720" i="1"/>
  <c r="U59" i="9"/>
  <c r="U720" i="1"/>
  <c r="AC59" i="9"/>
  <c r="AC720" i="1"/>
  <c r="AG59" i="9"/>
  <c r="AG720" i="1"/>
  <c r="AK59" i="9"/>
  <c r="AK720" i="1"/>
  <c r="AO59" i="9"/>
  <c r="AO720" i="1"/>
  <c r="AW59" i="9"/>
  <c r="AW720" i="1"/>
  <c r="O720" i="1"/>
  <c r="AI720" i="1"/>
  <c r="D34" i="9"/>
  <c r="E116" i="9" s="1"/>
  <c r="D618" i="1"/>
  <c r="D623" i="1" s="1"/>
  <c r="D617" i="1"/>
  <c r="D622" i="1" s="1"/>
  <c r="D616" i="1"/>
  <c r="D621" i="1" s="1"/>
  <c r="D619" i="1"/>
  <c r="D624" i="1" s="1"/>
  <c r="M116" i="9"/>
  <c r="L34" i="9"/>
  <c r="Q116" i="9" s="1"/>
  <c r="L618" i="1"/>
  <c r="L617" i="1"/>
  <c r="L616" i="1"/>
  <c r="L619" i="1"/>
  <c r="P34" i="9"/>
  <c r="U116" i="9" s="1"/>
  <c r="P618" i="1"/>
  <c r="P623" i="1" s="1"/>
  <c r="P617" i="1"/>
  <c r="P622" i="1" s="1"/>
  <c r="P616" i="1"/>
  <c r="P621" i="1" s="1"/>
  <c r="P619" i="1"/>
  <c r="P624" i="1" s="1"/>
  <c r="T379" i="1"/>
  <c r="V619" i="1" s="1"/>
  <c r="V624" i="1" s="1"/>
  <c r="X34" i="9"/>
  <c r="AC116" i="9" s="1"/>
  <c r="X616" i="1"/>
  <c r="X621" i="1" s="1"/>
  <c r="AB34" i="9"/>
  <c r="AG116" i="9" s="1"/>
  <c r="AB618" i="1"/>
  <c r="AB617" i="1"/>
  <c r="AB616" i="1"/>
  <c r="AB619" i="1"/>
  <c r="AF34" i="9"/>
  <c r="AK116" i="9" s="1"/>
  <c r="AF618" i="1"/>
  <c r="AF623" i="1" s="1"/>
  <c r="AF617" i="1"/>
  <c r="AF622" i="1" s="1"/>
  <c r="AF616" i="1"/>
  <c r="AF621" i="1" s="1"/>
  <c r="AF619" i="1"/>
  <c r="AF624" i="1" s="1"/>
  <c r="AJ34" i="9"/>
  <c r="AO116" i="9" s="1"/>
  <c r="AJ618" i="1"/>
  <c r="AJ623" i="1" s="1"/>
  <c r="AJ617" i="1"/>
  <c r="AJ622" i="1" s="1"/>
  <c r="AJ616" i="1"/>
  <c r="AJ621" i="1" s="1"/>
  <c r="AJ619" i="1"/>
  <c r="AJ624" i="1" s="1"/>
  <c r="AN379" i="1"/>
  <c r="AN322" i="1" s="1"/>
  <c r="AR34" i="9"/>
  <c r="AW116" i="9" s="1"/>
  <c r="AR618" i="1"/>
  <c r="AR623" i="1" s="1"/>
  <c r="AR617" i="1"/>
  <c r="AR622" i="1" s="1"/>
  <c r="AR616" i="1"/>
  <c r="AR621" i="1" s="1"/>
  <c r="AR619" i="1"/>
  <c r="AR624" i="1" s="1"/>
  <c r="AV34" i="9"/>
  <c r="AV618" i="1"/>
  <c r="AV617" i="1"/>
  <c r="AV616" i="1"/>
  <c r="AV619" i="1"/>
  <c r="F39" i="9"/>
  <c r="N39" i="9"/>
  <c r="R39" i="9"/>
  <c r="V39" i="9"/>
  <c r="Z39" i="9"/>
  <c r="AD39" i="9"/>
  <c r="AH39" i="9"/>
  <c r="AL39" i="9"/>
  <c r="AP39" i="9"/>
  <c r="AT39" i="9"/>
  <c r="C383" i="1"/>
  <c r="C388" i="1" s="1"/>
  <c r="G383" i="1"/>
  <c r="G388" i="1" s="1"/>
  <c r="K383" i="1"/>
  <c r="K388" i="1" s="1"/>
  <c r="S383" i="1"/>
  <c r="S388" i="1" s="1"/>
  <c r="W383" i="1"/>
  <c r="W388" i="1" s="1"/>
  <c r="AA383" i="1"/>
  <c r="AA388" i="1" s="1"/>
  <c r="AE383" i="1"/>
  <c r="AE388" i="1" s="1"/>
  <c r="AM383" i="1"/>
  <c r="AM388" i="1" s="1"/>
  <c r="AQ383" i="1"/>
  <c r="AQ388" i="1" s="1"/>
  <c r="AU383" i="1"/>
  <c r="AU388" i="1" s="1"/>
  <c r="D60" i="9"/>
  <c r="H60" i="9"/>
  <c r="L60" i="9"/>
  <c r="P60" i="9"/>
  <c r="X60" i="9"/>
  <c r="AB60" i="9"/>
  <c r="AF60" i="9"/>
  <c r="AJ60" i="9"/>
  <c r="AR60" i="9"/>
  <c r="AV60" i="9"/>
  <c r="E644" i="1"/>
  <c r="E628" i="1"/>
  <c r="E639" i="1" s="1"/>
  <c r="I644" i="1"/>
  <c r="I628" i="1"/>
  <c r="M644" i="1"/>
  <c r="M628" i="1"/>
  <c r="Q644" i="1"/>
  <c r="Q628" i="1"/>
  <c r="U644" i="1"/>
  <c r="U628" i="1"/>
  <c r="U639" i="1" s="1"/>
  <c r="Y644" i="1"/>
  <c r="Y628" i="1"/>
  <c r="AC644" i="1"/>
  <c r="AC628" i="1"/>
  <c r="AG644" i="1"/>
  <c r="AG628" i="1"/>
  <c r="AK644" i="1"/>
  <c r="AK628" i="1"/>
  <c r="AO644" i="1"/>
  <c r="AO628" i="1"/>
  <c r="AO639" i="1" s="1"/>
  <c r="AS644" i="1"/>
  <c r="AS628" i="1"/>
  <c r="AW644" i="1"/>
  <c r="AW628" i="1"/>
  <c r="E40" i="9"/>
  <c r="E460" i="1"/>
  <c r="I40" i="9"/>
  <c r="I460" i="1"/>
  <c r="M40" i="9"/>
  <c r="M460" i="1"/>
  <c r="Q40" i="9"/>
  <c r="Q460" i="1"/>
  <c r="U40" i="9"/>
  <c r="U460" i="1"/>
  <c r="AC40" i="9"/>
  <c r="AC460" i="1"/>
  <c r="AG40" i="9"/>
  <c r="AG460" i="1"/>
  <c r="AK40" i="9"/>
  <c r="AK460" i="1"/>
  <c r="AO40" i="9"/>
  <c r="AO460" i="1"/>
  <c r="AW40" i="9"/>
  <c r="AW460" i="1"/>
  <c r="AY41" i="9"/>
  <c r="I67" i="9"/>
  <c r="I447" i="1"/>
  <c r="I448" i="1" s="1"/>
  <c r="I449" i="1" s="1"/>
  <c r="I450" i="1" s="1"/>
  <c r="I431" i="1"/>
  <c r="Q67" i="9"/>
  <c r="Q447" i="1"/>
  <c r="Q448" i="1" s="1"/>
  <c r="Q449" i="1" s="1"/>
  <c r="Q450" i="1" s="1"/>
  <c r="Q431" i="1"/>
  <c r="AG67" i="9"/>
  <c r="AG447" i="1"/>
  <c r="AG448" i="1" s="1"/>
  <c r="AG449" i="1" s="1"/>
  <c r="AG450" i="1" s="1"/>
  <c r="AG431" i="1"/>
  <c r="AO67" i="9"/>
  <c r="AO447" i="1"/>
  <c r="AO448" i="1" s="1"/>
  <c r="AO449" i="1" s="1"/>
  <c r="AO450" i="1" s="1"/>
  <c r="AO431" i="1"/>
  <c r="AW67" i="9"/>
  <c r="AW447" i="1"/>
  <c r="AW448" i="1" s="1"/>
  <c r="AW449" i="1" s="1"/>
  <c r="AW450" i="1" s="1"/>
  <c r="AW431" i="1"/>
  <c r="D445" i="1"/>
  <c r="H445" i="1"/>
  <c r="L445" i="1"/>
  <c r="P445" i="1"/>
  <c r="T445" i="1"/>
  <c r="X445" i="1"/>
  <c r="AC445" i="1"/>
  <c r="AH445" i="1"/>
  <c r="AM445" i="1"/>
  <c r="AR445" i="1"/>
  <c r="AW445" i="1"/>
  <c r="E104" i="9"/>
  <c r="E89" i="9"/>
  <c r="E469" i="1"/>
  <c r="E468" i="1"/>
  <c r="M104" i="9"/>
  <c r="M89" i="9"/>
  <c r="Q104" i="9"/>
  <c r="Q89" i="9"/>
  <c r="U104" i="9"/>
  <c r="U89" i="9"/>
  <c r="U469" i="1"/>
  <c r="U468" i="1"/>
  <c r="Y104" i="9"/>
  <c r="Y89" i="9"/>
  <c r="AC104" i="9"/>
  <c r="AC89" i="9"/>
  <c r="AG104" i="9"/>
  <c r="AG89" i="9"/>
  <c r="AK104" i="9"/>
  <c r="AK89" i="9"/>
  <c r="AO104" i="9"/>
  <c r="AO89" i="9"/>
  <c r="AO469" i="1"/>
  <c r="AO468" i="1"/>
  <c r="AS104" i="9"/>
  <c r="AS89" i="9"/>
  <c r="AW104" i="9"/>
  <c r="AW89" i="9"/>
  <c r="AI445" i="1"/>
  <c r="AX548" i="1"/>
  <c r="E548" i="1"/>
  <c r="E551" i="1" s="1"/>
  <c r="F550" i="1" s="1"/>
  <c r="I548" i="1"/>
  <c r="M548" i="1"/>
  <c r="Q548" i="1"/>
  <c r="U548" i="1"/>
  <c r="Z548" i="1"/>
  <c r="AE548" i="1"/>
  <c r="AJ548" i="1"/>
  <c r="AO548" i="1"/>
  <c r="AT548" i="1"/>
  <c r="AY548" i="1"/>
  <c r="BD548" i="1"/>
  <c r="F430" i="1"/>
  <c r="F575" i="1"/>
  <c r="F361" i="1" s="1"/>
  <c r="F365" i="1" s="1"/>
  <c r="J430" i="1"/>
  <c r="J575" i="1"/>
  <c r="J361" i="1" s="1"/>
  <c r="J365" i="1" s="1"/>
  <c r="N430" i="1"/>
  <c r="N575" i="1"/>
  <c r="N361" i="1" s="1"/>
  <c r="N365" i="1" s="1"/>
  <c r="R430" i="1"/>
  <c r="R575" i="1"/>
  <c r="R361" i="1" s="1"/>
  <c r="R365" i="1" s="1"/>
  <c r="V430" i="1"/>
  <c r="V575" i="1"/>
  <c r="AK575" i="1"/>
  <c r="AP430" i="1"/>
  <c r="AP575" i="1"/>
  <c r="E68" i="9"/>
  <c r="E645" i="1"/>
  <c r="E629" i="1"/>
  <c r="I68" i="9"/>
  <c r="I645" i="1"/>
  <c r="I629" i="1"/>
  <c r="M68" i="9"/>
  <c r="M645" i="1"/>
  <c r="M629" i="1"/>
  <c r="Q68" i="9"/>
  <c r="Q645" i="1"/>
  <c r="Q629" i="1"/>
  <c r="U68" i="9"/>
  <c r="U645" i="1"/>
  <c r="U629" i="1"/>
  <c r="Y68" i="9"/>
  <c r="Y645" i="1"/>
  <c r="Y629" i="1"/>
  <c r="AC68" i="9"/>
  <c r="AC645" i="1"/>
  <c r="AC629" i="1"/>
  <c r="AG68" i="9"/>
  <c r="AG645" i="1"/>
  <c r="AG629" i="1"/>
  <c r="AK68" i="9"/>
  <c r="AK645" i="1"/>
  <c r="AK629" i="1"/>
  <c r="AO68" i="9"/>
  <c r="AO645" i="1"/>
  <c r="AO629" i="1"/>
  <c r="AS68" i="9"/>
  <c r="AS645" i="1"/>
  <c r="AS629" i="1"/>
  <c r="AW68" i="9"/>
  <c r="AW645" i="1"/>
  <c r="AW629" i="1"/>
  <c r="C72" i="9"/>
  <c r="C722" i="1"/>
  <c r="G72" i="9"/>
  <c r="G722" i="1"/>
  <c r="K72" i="9"/>
  <c r="K729" i="1"/>
  <c r="K722" i="1"/>
  <c r="O72" i="9"/>
  <c r="O722" i="1"/>
  <c r="S72" i="9"/>
  <c r="S722" i="1"/>
  <c r="W72" i="9"/>
  <c r="W722" i="1"/>
  <c r="AA72" i="9"/>
  <c r="AA722" i="1"/>
  <c r="AE72" i="9"/>
  <c r="AE729" i="1"/>
  <c r="AE722" i="1"/>
  <c r="AI72" i="9"/>
  <c r="AI722" i="1"/>
  <c r="AM72" i="9"/>
  <c r="AM722" i="1"/>
  <c r="AQ72" i="9"/>
  <c r="AQ722" i="1"/>
  <c r="AU72" i="9"/>
  <c r="AU722" i="1"/>
  <c r="D7" i="9"/>
  <c r="D712" i="1"/>
  <c r="H7" i="9"/>
  <c r="H712" i="1"/>
  <c r="L7" i="9"/>
  <c r="L712" i="1"/>
  <c r="P7" i="9"/>
  <c r="P712" i="1"/>
  <c r="T7" i="9"/>
  <c r="T712" i="1"/>
  <c r="X7" i="9"/>
  <c r="X712" i="1"/>
  <c r="AB7" i="9"/>
  <c r="AB712" i="1"/>
  <c r="AF7" i="9"/>
  <c r="AF712" i="1"/>
  <c r="AJ7" i="9"/>
  <c r="AJ712" i="1"/>
  <c r="AN7" i="9"/>
  <c r="AN712" i="1"/>
  <c r="AR7" i="9"/>
  <c r="AR712" i="1"/>
  <c r="AV7" i="9"/>
  <c r="AV712" i="1"/>
  <c r="C8" i="9"/>
  <c r="C713" i="1"/>
  <c r="G8" i="9"/>
  <c r="G713" i="1"/>
  <c r="K8" i="9"/>
  <c r="K713" i="1"/>
  <c r="O8" i="9"/>
  <c r="O713" i="1"/>
  <c r="S8" i="9"/>
  <c r="S713" i="1"/>
  <c r="W8" i="9"/>
  <c r="W713" i="1"/>
  <c r="AA8" i="9"/>
  <c r="AA713" i="1"/>
  <c r="AE8" i="9"/>
  <c r="AE713" i="1"/>
  <c r="AI8" i="9"/>
  <c r="AI713" i="1"/>
  <c r="AM8" i="9"/>
  <c r="AM713" i="1"/>
  <c r="AQ8" i="9"/>
  <c r="AQ713" i="1"/>
  <c r="AU8" i="9"/>
  <c r="AU713" i="1"/>
  <c r="AD508" i="1"/>
  <c r="AD515" i="1" s="1"/>
  <c r="AN719" i="1"/>
  <c r="AN588" i="1"/>
  <c r="AI528" i="1"/>
  <c r="AN605" i="1"/>
  <c r="AI545" i="1"/>
  <c r="AN77" i="9"/>
  <c r="AI555" i="1"/>
  <c r="AI568" i="1" s="1"/>
  <c r="AY635" i="1"/>
  <c r="AY556" i="1"/>
  <c r="D719" i="1"/>
  <c r="D588" i="1"/>
  <c r="H719" i="1"/>
  <c r="H588" i="1"/>
  <c r="L719" i="1"/>
  <c r="L588" i="1"/>
  <c r="P719" i="1"/>
  <c r="P728" i="1"/>
  <c r="J630" i="1"/>
  <c r="N630" i="1"/>
  <c r="Z630" i="1"/>
  <c r="AD630" i="1"/>
  <c r="AP630" i="1"/>
  <c r="AT630" i="1"/>
  <c r="F68" i="9"/>
  <c r="F645" i="1"/>
  <c r="F629" i="1"/>
  <c r="F630" i="1" s="1"/>
  <c r="J68" i="9"/>
  <c r="J645" i="1"/>
  <c r="J629" i="1"/>
  <c r="N68" i="9"/>
  <c r="N645" i="1"/>
  <c r="N629" i="1"/>
  <c r="R68" i="9"/>
  <c r="R645" i="1"/>
  <c r="R629" i="1"/>
  <c r="R630" i="1" s="1"/>
  <c r="V68" i="9"/>
  <c r="V645" i="1"/>
  <c r="V629" i="1"/>
  <c r="V630" i="1" s="1"/>
  <c r="Z68" i="9"/>
  <c r="Z645" i="1"/>
  <c r="Z629" i="1"/>
  <c r="AD68" i="9"/>
  <c r="AD645" i="1"/>
  <c r="AD629" i="1"/>
  <c r="AH68" i="9"/>
  <c r="AH645" i="1"/>
  <c r="AH629" i="1"/>
  <c r="AH630" i="1" s="1"/>
  <c r="AL68" i="9"/>
  <c r="AL645" i="1"/>
  <c r="AL629" i="1"/>
  <c r="AL630" i="1" s="1"/>
  <c r="AP68" i="9"/>
  <c r="AP645" i="1"/>
  <c r="AP629" i="1"/>
  <c r="AT68" i="9"/>
  <c r="AT645" i="1"/>
  <c r="AT629" i="1"/>
  <c r="D72" i="9"/>
  <c r="D722" i="1"/>
  <c r="H72" i="9"/>
  <c r="H722" i="1"/>
  <c r="L72" i="9"/>
  <c r="L722" i="1"/>
  <c r="P72" i="9"/>
  <c r="P729" i="1"/>
  <c r="P722" i="1"/>
  <c r="T72" i="9"/>
  <c r="T722" i="1"/>
  <c r="X72" i="9"/>
  <c r="X722" i="1"/>
  <c r="AB72" i="9"/>
  <c r="AB722" i="1"/>
  <c r="AF72" i="9"/>
  <c r="AF722" i="1"/>
  <c r="AJ72" i="9"/>
  <c r="AJ729" i="1"/>
  <c r="AJ722" i="1"/>
  <c r="AN72" i="9"/>
  <c r="AN722" i="1"/>
  <c r="AR72" i="9"/>
  <c r="AR722" i="1"/>
  <c r="AV72" i="9"/>
  <c r="AV722" i="1"/>
  <c r="E7" i="9"/>
  <c r="E712" i="1"/>
  <c r="I7" i="9"/>
  <c r="I712" i="1"/>
  <c r="M7" i="9"/>
  <c r="M712" i="1"/>
  <c r="Q7" i="9"/>
  <c r="Q712" i="1"/>
  <c r="U7" i="9"/>
  <c r="U712" i="1"/>
  <c r="Y7" i="9"/>
  <c r="Y712" i="1"/>
  <c r="AC7" i="9"/>
  <c r="AC712" i="1"/>
  <c r="AG7" i="9"/>
  <c r="AG712" i="1"/>
  <c r="AK7" i="9"/>
  <c r="AK712" i="1"/>
  <c r="AO7" i="9"/>
  <c r="AO712" i="1"/>
  <c r="AS7" i="9"/>
  <c r="AS712" i="1"/>
  <c r="AW7" i="9"/>
  <c r="AW712" i="1"/>
  <c r="D8" i="9"/>
  <c r="D713" i="1"/>
  <c r="H8" i="9"/>
  <c r="H713" i="1"/>
  <c r="L8" i="9"/>
  <c r="L713" i="1"/>
  <c r="P8" i="9"/>
  <c r="P713" i="1"/>
  <c r="T8" i="9"/>
  <c r="T713" i="1"/>
  <c r="X8" i="9"/>
  <c r="X713" i="1"/>
  <c r="AB8" i="9"/>
  <c r="AB713" i="1"/>
  <c r="AF8" i="9"/>
  <c r="AF713" i="1"/>
  <c r="AJ8" i="9"/>
  <c r="AJ713" i="1"/>
  <c r="AN8" i="9"/>
  <c r="AN713" i="1"/>
  <c r="AR8" i="9"/>
  <c r="AR713" i="1"/>
  <c r="AV8" i="9"/>
  <c r="AV713" i="1"/>
  <c r="Y719" i="1"/>
  <c r="Y588" i="1"/>
  <c r="AS719" i="1"/>
  <c r="AS588" i="1"/>
  <c r="AN528" i="1"/>
  <c r="AN545" i="1"/>
  <c r="AN548" i="1" s="1"/>
  <c r="Y77" i="9"/>
  <c r="AS77" i="9"/>
  <c r="L710" i="1"/>
  <c r="P710" i="1"/>
  <c r="X710" i="1"/>
  <c r="AB710" i="1"/>
  <c r="AF710" i="1"/>
  <c r="AJ710" i="1"/>
  <c r="AN555" i="1"/>
  <c r="AN568" i="1" s="1"/>
  <c r="AR710" i="1"/>
  <c r="AV710" i="1"/>
  <c r="AY569" i="1"/>
  <c r="E719" i="1"/>
  <c r="E588" i="1"/>
  <c r="I719" i="1"/>
  <c r="I588" i="1"/>
  <c r="I608" i="1" s="1"/>
  <c r="E608" i="1"/>
  <c r="U728" i="1"/>
  <c r="AY77" i="9"/>
  <c r="AO636" i="1"/>
  <c r="C68" i="9"/>
  <c r="C645" i="1"/>
  <c r="G68" i="9"/>
  <c r="G645" i="1"/>
  <c r="G629" i="1"/>
  <c r="K68" i="9"/>
  <c r="K645" i="1"/>
  <c r="K629" i="1"/>
  <c r="O68" i="9"/>
  <c r="O645" i="1"/>
  <c r="O629" i="1"/>
  <c r="S68" i="9"/>
  <c r="S645" i="1"/>
  <c r="S629" i="1"/>
  <c r="W68" i="9"/>
  <c r="W645" i="1"/>
  <c r="W629" i="1"/>
  <c r="AA68" i="9"/>
  <c r="AA645" i="1"/>
  <c r="AA629" i="1"/>
  <c r="AE68" i="9"/>
  <c r="AE645" i="1"/>
  <c r="AE629" i="1"/>
  <c r="AI68" i="9"/>
  <c r="AI645" i="1"/>
  <c r="AI629" i="1"/>
  <c r="AM68" i="9"/>
  <c r="AM645" i="1"/>
  <c r="AM629" i="1"/>
  <c r="AQ68" i="9"/>
  <c r="AQ645" i="1"/>
  <c r="AQ629" i="1"/>
  <c r="AU68" i="9"/>
  <c r="AU645" i="1"/>
  <c r="AU629" i="1"/>
  <c r="E72" i="9"/>
  <c r="E722" i="1"/>
  <c r="I72" i="9"/>
  <c r="I722" i="1"/>
  <c r="M72" i="9"/>
  <c r="M722" i="1"/>
  <c r="Q72" i="9"/>
  <c r="Q722" i="1"/>
  <c r="U72" i="9"/>
  <c r="U729" i="1"/>
  <c r="U722" i="1"/>
  <c r="Y72" i="9"/>
  <c r="Y722" i="1"/>
  <c r="AC72" i="9"/>
  <c r="AC722" i="1"/>
  <c r="AG72" i="9"/>
  <c r="AG722" i="1"/>
  <c r="AK72" i="9"/>
  <c r="AK722" i="1"/>
  <c r="AO72" i="9"/>
  <c r="AO729" i="1"/>
  <c r="AO722" i="1"/>
  <c r="AS72" i="9"/>
  <c r="AS722" i="1"/>
  <c r="AW72" i="9"/>
  <c r="AW722" i="1"/>
  <c r="F7" i="9"/>
  <c r="F712" i="1"/>
  <c r="J7" i="9"/>
  <c r="J712" i="1"/>
  <c r="N7" i="9"/>
  <c r="N712" i="1"/>
  <c r="R7" i="9"/>
  <c r="R712" i="1"/>
  <c r="V7" i="9"/>
  <c r="V712" i="1"/>
  <c r="Z7" i="9"/>
  <c r="Z712" i="1"/>
  <c r="AD7" i="9"/>
  <c r="AD712" i="1"/>
  <c r="AH7" i="9"/>
  <c r="AH712" i="1"/>
  <c r="AL7" i="9"/>
  <c r="AL712" i="1"/>
  <c r="AP7" i="9"/>
  <c r="AP712" i="1"/>
  <c r="AT7" i="9"/>
  <c r="AT712" i="1"/>
  <c r="E8" i="9"/>
  <c r="E713" i="1"/>
  <c r="I8" i="9"/>
  <c r="I713" i="1"/>
  <c r="M8" i="9"/>
  <c r="M713" i="1"/>
  <c r="Q8" i="9"/>
  <c r="Q713" i="1"/>
  <c r="U8" i="9"/>
  <c r="U713" i="1"/>
  <c r="Y8" i="9"/>
  <c r="Y713" i="1"/>
  <c r="AC8" i="9"/>
  <c r="AC713" i="1"/>
  <c r="AG8" i="9"/>
  <c r="AG713" i="1"/>
  <c r="AK8" i="9"/>
  <c r="AK713" i="1"/>
  <c r="AO8" i="9"/>
  <c r="AO713" i="1"/>
  <c r="AS8" i="9"/>
  <c r="AS713" i="1"/>
  <c r="AW8" i="9"/>
  <c r="AW713" i="1"/>
  <c r="C458" i="1"/>
  <c r="G458" i="1"/>
  <c r="G104" i="9" s="1"/>
  <c r="K458" i="1"/>
  <c r="O458" i="1"/>
  <c r="S458" i="1"/>
  <c r="W458" i="1"/>
  <c r="AA458" i="1"/>
  <c r="AE458" i="1"/>
  <c r="AI458" i="1"/>
  <c r="AM458" i="1"/>
  <c r="AQ458" i="1"/>
  <c r="AU458" i="1"/>
  <c r="AD719" i="1"/>
  <c r="AD588" i="1"/>
  <c r="Y528" i="1"/>
  <c r="AS528" i="1"/>
  <c r="Y545" i="1"/>
  <c r="Y548" i="1" s="1"/>
  <c r="AS545" i="1"/>
  <c r="AS548" i="1" s="1"/>
  <c r="AD77" i="9"/>
  <c r="Y555" i="1"/>
  <c r="Y568" i="1" s="1"/>
  <c r="AS555" i="1"/>
  <c r="AS568" i="1" s="1"/>
  <c r="C568" i="1"/>
  <c r="G568" i="1"/>
  <c r="K568" i="1"/>
  <c r="S568" i="1"/>
  <c r="U725" i="1" s="1"/>
  <c r="W568" i="1"/>
  <c r="AA568" i="1"/>
  <c r="AE568" i="1"/>
  <c r="AM568" i="1"/>
  <c r="AO725" i="1" s="1"/>
  <c r="AQ568" i="1"/>
  <c r="AU568" i="1"/>
  <c r="F719" i="1"/>
  <c r="F588" i="1"/>
  <c r="F608" i="1" s="1"/>
  <c r="J719" i="1"/>
  <c r="J588" i="1"/>
  <c r="N719" i="1"/>
  <c r="N588" i="1"/>
  <c r="J608" i="1"/>
  <c r="N608" i="1"/>
  <c r="Z728" i="1"/>
  <c r="AE728" i="1"/>
  <c r="AJ728" i="1"/>
  <c r="AO728" i="1"/>
  <c r="AT728" i="1"/>
  <c r="E636" i="1"/>
  <c r="I636" i="1"/>
  <c r="M636" i="1"/>
  <c r="Q636" i="1"/>
  <c r="U636" i="1"/>
  <c r="Y636" i="1"/>
  <c r="AC636" i="1"/>
  <c r="AG636" i="1"/>
  <c r="AK636" i="1"/>
  <c r="P68" i="9"/>
  <c r="P645" i="1"/>
  <c r="P629" i="1"/>
  <c r="T68" i="9"/>
  <c r="T645" i="1"/>
  <c r="T629" i="1"/>
  <c r="X68" i="9"/>
  <c r="X645" i="1"/>
  <c r="X629" i="1"/>
  <c r="AB68" i="9"/>
  <c r="AB645" i="1"/>
  <c r="AB629" i="1"/>
  <c r="AF68" i="9"/>
  <c r="AF645" i="1"/>
  <c r="AF629" i="1"/>
  <c r="AJ68" i="9"/>
  <c r="AJ645" i="1"/>
  <c r="AJ629" i="1"/>
  <c r="AN68" i="9"/>
  <c r="AN645" i="1"/>
  <c r="AN629" i="1"/>
  <c r="AR68" i="9"/>
  <c r="AR645" i="1"/>
  <c r="AR629" i="1"/>
  <c r="AV68" i="9"/>
  <c r="AV645" i="1"/>
  <c r="AV629" i="1"/>
  <c r="F72" i="9"/>
  <c r="F722" i="1"/>
  <c r="J72" i="9"/>
  <c r="J722" i="1"/>
  <c r="N72" i="9"/>
  <c r="N722" i="1"/>
  <c r="R72" i="9"/>
  <c r="R722" i="1"/>
  <c r="V72" i="9"/>
  <c r="V722" i="1"/>
  <c r="Z72" i="9"/>
  <c r="Z729" i="1"/>
  <c r="Z722" i="1"/>
  <c r="AD72" i="9"/>
  <c r="AD722" i="1"/>
  <c r="AH72" i="9"/>
  <c r="AH722" i="1"/>
  <c r="AL72" i="9"/>
  <c r="AL722" i="1"/>
  <c r="AP72" i="9"/>
  <c r="AP722" i="1"/>
  <c r="AT72" i="9"/>
  <c r="AT729" i="1"/>
  <c r="AT722" i="1"/>
  <c r="AY72" i="9"/>
  <c r="C7" i="9"/>
  <c r="C712" i="1"/>
  <c r="G7" i="9"/>
  <c r="G712" i="1"/>
  <c r="K7" i="9"/>
  <c r="K712" i="1"/>
  <c r="O7" i="9"/>
  <c r="O712" i="1"/>
  <c r="S7" i="9"/>
  <c r="S712" i="1"/>
  <c r="W7" i="9"/>
  <c r="W712" i="1"/>
  <c r="AA7" i="9"/>
  <c r="AA712" i="1"/>
  <c r="AE7" i="9"/>
  <c r="AE712" i="1"/>
  <c r="AI7" i="9"/>
  <c r="AI712" i="1"/>
  <c r="AM7" i="9"/>
  <c r="AM712" i="1"/>
  <c r="AQ7" i="9"/>
  <c r="AQ712" i="1"/>
  <c r="AU7" i="9"/>
  <c r="AU712" i="1"/>
  <c r="F8" i="9"/>
  <c r="F713" i="1"/>
  <c r="J8" i="9"/>
  <c r="J713" i="1"/>
  <c r="N8" i="9"/>
  <c r="N713" i="1"/>
  <c r="R8" i="9"/>
  <c r="R713" i="1"/>
  <c r="V8" i="9"/>
  <c r="V713" i="1"/>
  <c r="Z8" i="9"/>
  <c r="Z713" i="1"/>
  <c r="AD8" i="9"/>
  <c r="AD713" i="1"/>
  <c r="AH8" i="9"/>
  <c r="AH713" i="1"/>
  <c r="AL8" i="9"/>
  <c r="AL713" i="1"/>
  <c r="AP8" i="9"/>
  <c r="AP713" i="1"/>
  <c r="AT8" i="9"/>
  <c r="AT713" i="1"/>
  <c r="AX456" i="1"/>
  <c r="D458" i="1"/>
  <c r="H458" i="1"/>
  <c r="H104" i="9" s="1"/>
  <c r="L458" i="1"/>
  <c r="P458" i="1"/>
  <c r="T458" i="1"/>
  <c r="X458" i="1"/>
  <c r="AB458" i="1"/>
  <c r="AF458" i="1"/>
  <c r="AJ458" i="1"/>
  <c r="AN458" i="1"/>
  <c r="AR458" i="1"/>
  <c r="AV458" i="1"/>
  <c r="AI719" i="1"/>
  <c r="AI588" i="1"/>
  <c r="AD528" i="1"/>
  <c r="AD545" i="1"/>
  <c r="AI77" i="9"/>
  <c r="D568" i="1"/>
  <c r="H568" i="1"/>
  <c r="L568" i="1"/>
  <c r="P568" i="1"/>
  <c r="X568" i="1"/>
  <c r="AB568" i="1"/>
  <c r="AF568" i="1"/>
  <c r="AJ568" i="1"/>
  <c r="AR568" i="1"/>
  <c r="AV568" i="1"/>
  <c r="C719" i="1"/>
  <c r="C588" i="1"/>
  <c r="G719" i="1"/>
  <c r="G588" i="1"/>
  <c r="K727" i="1" s="1"/>
  <c r="K719" i="1"/>
  <c r="K588" i="1"/>
  <c r="O719" i="1"/>
  <c r="O588" i="1"/>
  <c r="O608" i="1" s="1"/>
  <c r="K728" i="1"/>
  <c r="S719" i="1"/>
  <c r="W719" i="1"/>
  <c r="AA719" i="1"/>
  <c r="AE719" i="1"/>
  <c r="AM719" i="1"/>
  <c r="AQ719" i="1"/>
  <c r="AU719" i="1"/>
  <c r="S588" i="1"/>
  <c r="W588" i="1"/>
  <c r="AA588" i="1"/>
  <c r="AE588" i="1"/>
  <c r="AM588" i="1"/>
  <c r="AQ588" i="1"/>
  <c r="AU588" i="1"/>
  <c r="BC588" i="1"/>
  <c r="BG588" i="1"/>
  <c r="AV605" i="1"/>
  <c r="E77" i="9"/>
  <c r="I77" i="9"/>
  <c r="M77" i="9"/>
  <c r="Q77" i="9"/>
  <c r="U77" i="9"/>
  <c r="AC77" i="9"/>
  <c r="AG77" i="9"/>
  <c r="AK77" i="9"/>
  <c r="AO77" i="9"/>
  <c r="AW77" i="9"/>
  <c r="D641" i="1"/>
  <c r="P641" i="1"/>
  <c r="AJ641" i="1"/>
  <c r="D630" i="1"/>
  <c r="H630" i="1"/>
  <c r="L630" i="1"/>
  <c r="P630" i="1"/>
  <c r="T630" i="1"/>
  <c r="X630" i="1"/>
  <c r="AB630" i="1"/>
  <c r="AF630" i="1"/>
  <c r="AJ630" i="1"/>
  <c r="AN630" i="1"/>
  <c r="AR630" i="1"/>
  <c r="AV630" i="1"/>
  <c r="K642" i="1"/>
  <c r="AE642" i="1"/>
  <c r="G636" i="1"/>
  <c r="K636" i="1"/>
  <c r="O636" i="1"/>
  <c r="S636" i="1"/>
  <c r="W636" i="1"/>
  <c r="AA636" i="1"/>
  <c r="AE636" i="1"/>
  <c r="AI636" i="1"/>
  <c r="AM636" i="1"/>
  <c r="AQ636" i="1"/>
  <c r="AU636" i="1"/>
  <c r="Y101" i="9"/>
  <c r="Y717" i="1"/>
  <c r="AP101" i="9"/>
  <c r="AT101" i="9"/>
  <c r="AT717" i="1"/>
  <c r="C101" i="9"/>
  <c r="C102" i="9" s="1"/>
  <c r="C717" i="1"/>
  <c r="G101" i="9"/>
  <c r="G717" i="1"/>
  <c r="K101" i="9"/>
  <c r="K717" i="1"/>
  <c r="O101" i="9"/>
  <c r="O717" i="1"/>
  <c r="S101" i="9"/>
  <c r="S717" i="1"/>
  <c r="W101" i="9"/>
  <c r="W717" i="1"/>
  <c r="AB101" i="9"/>
  <c r="AB717" i="1"/>
  <c r="AG101" i="9"/>
  <c r="AL674" i="1"/>
  <c r="AW673" i="1"/>
  <c r="AW637" i="1"/>
  <c r="AD110" i="9"/>
  <c r="AD111" i="9" s="1"/>
  <c r="AD695" i="1"/>
  <c r="AI96" i="9"/>
  <c r="AI97" i="9" s="1"/>
  <c r="T719" i="1"/>
  <c r="X719" i="1"/>
  <c r="AB719" i="1"/>
  <c r="AF719" i="1"/>
  <c r="AJ719" i="1"/>
  <c r="AR719" i="1"/>
  <c r="AV719" i="1"/>
  <c r="P588" i="1"/>
  <c r="T588" i="1"/>
  <c r="T608" i="1" s="1"/>
  <c r="X588" i="1"/>
  <c r="AB588" i="1"/>
  <c r="AF588" i="1"/>
  <c r="AJ588" i="1"/>
  <c r="AR588" i="1"/>
  <c r="AV588" i="1"/>
  <c r="AZ588" i="1"/>
  <c r="F77" i="9"/>
  <c r="J77" i="9"/>
  <c r="N77" i="9"/>
  <c r="R77" i="9"/>
  <c r="V77" i="9"/>
  <c r="Z77" i="9"/>
  <c r="AH77" i="9"/>
  <c r="AL77" i="9"/>
  <c r="AP77" i="9"/>
  <c r="AT77" i="9"/>
  <c r="E641" i="1"/>
  <c r="U641" i="1"/>
  <c r="AO641" i="1"/>
  <c r="E630" i="1"/>
  <c r="I630" i="1"/>
  <c r="M630" i="1"/>
  <c r="Q630" i="1"/>
  <c r="U630" i="1"/>
  <c r="Y630" i="1"/>
  <c r="AC630" i="1"/>
  <c r="AG630" i="1"/>
  <c r="AK630" i="1"/>
  <c r="AO630" i="1"/>
  <c r="AS630" i="1"/>
  <c r="AW630" i="1"/>
  <c r="D642" i="1"/>
  <c r="P642" i="1"/>
  <c r="AJ642" i="1"/>
  <c r="D636" i="1"/>
  <c r="H636" i="1"/>
  <c r="L636" i="1"/>
  <c r="P636" i="1"/>
  <c r="T636" i="1"/>
  <c r="X636" i="1"/>
  <c r="AB636" i="1"/>
  <c r="AF636" i="1"/>
  <c r="AJ636" i="1"/>
  <c r="AR636" i="1"/>
  <c r="AV636" i="1"/>
  <c r="AD101" i="9"/>
  <c r="AD717" i="1"/>
  <c r="AQ674" i="1"/>
  <c r="AU101" i="9"/>
  <c r="D101" i="9"/>
  <c r="D717" i="1"/>
  <c r="H101" i="9"/>
  <c r="H717" i="1"/>
  <c r="L101" i="9"/>
  <c r="L717" i="1"/>
  <c r="P101" i="9"/>
  <c r="P717" i="1"/>
  <c r="T101" i="9"/>
  <c r="T717" i="1"/>
  <c r="X101" i="9"/>
  <c r="X717" i="1"/>
  <c r="AC101" i="9"/>
  <c r="AC717" i="1"/>
  <c r="AH674" i="1"/>
  <c r="AM101" i="9"/>
  <c r="AI110" i="9"/>
  <c r="AI111" i="9" s="1"/>
  <c r="AI695" i="1"/>
  <c r="AI705" i="1" s="1"/>
  <c r="AI707" i="1" s="1"/>
  <c r="AX694" i="1"/>
  <c r="AN96" i="9"/>
  <c r="AN97" i="9" s="1"/>
  <c r="AN705" i="1"/>
  <c r="M719" i="1"/>
  <c r="Q719" i="1"/>
  <c r="U719" i="1"/>
  <c r="AC719" i="1"/>
  <c r="AG719" i="1"/>
  <c r="AK719" i="1"/>
  <c r="AO719" i="1"/>
  <c r="AW719" i="1"/>
  <c r="M588" i="1"/>
  <c r="M608" i="1" s="1"/>
  <c r="Q588" i="1"/>
  <c r="U588" i="1"/>
  <c r="U608" i="1" s="1"/>
  <c r="AC588" i="1"/>
  <c r="AC608" i="1" s="1"/>
  <c r="AG588" i="1"/>
  <c r="AG608" i="1" s="1"/>
  <c r="AK588" i="1"/>
  <c r="AK608" i="1" s="1"/>
  <c r="AO588" i="1"/>
  <c r="AO608" i="1" s="1"/>
  <c r="AW588" i="1"/>
  <c r="AW608" i="1" s="1"/>
  <c r="BA588" i="1"/>
  <c r="BE588" i="1"/>
  <c r="C77" i="9"/>
  <c r="G77" i="9"/>
  <c r="K77" i="9"/>
  <c r="O77" i="9"/>
  <c r="S77" i="9"/>
  <c r="W77" i="9"/>
  <c r="AA77" i="9"/>
  <c r="AE77" i="9"/>
  <c r="AM77" i="9"/>
  <c r="AQ77" i="9"/>
  <c r="AU77" i="9"/>
  <c r="BD77" i="9"/>
  <c r="F641" i="1"/>
  <c r="Z641" i="1"/>
  <c r="AT641" i="1"/>
  <c r="E642" i="1"/>
  <c r="U642" i="1"/>
  <c r="AO642" i="1"/>
  <c r="AI101" i="9"/>
  <c r="AI717" i="1"/>
  <c r="AR101" i="9"/>
  <c r="AV674" i="1"/>
  <c r="E101" i="9"/>
  <c r="E102" i="9" s="1"/>
  <c r="E717" i="1"/>
  <c r="I101" i="9"/>
  <c r="I717" i="1"/>
  <c r="M101" i="9"/>
  <c r="M717" i="1"/>
  <c r="Q101" i="9"/>
  <c r="Q717" i="1"/>
  <c r="U101" i="9"/>
  <c r="U717" i="1"/>
  <c r="Z101" i="9"/>
  <c r="Z717" i="1"/>
  <c r="AE101" i="9"/>
  <c r="AE102" i="9" s="1"/>
  <c r="AE717" i="1"/>
  <c r="AJ101" i="9"/>
  <c r="AJ717" i="1"/>
  <c r="AN668" i="1"/>
  <c r="AN110" i="9"/>
  <c r="AN111" i="9" s="1"/>
  <c r="AN695" i="1"/>
  <c r="Y96" i="9"/>
  <c r="Y97" i="9" s="1"/>
  <c r="AS96" i="9"/>
  <c r="AS97" i="9" s="1"/>
  <c r="R719" i="1"/>
  <c r="V719" i="1"/>
  <c r="Z719" i="1"/>
  <c r="AH719" i="1"/>
  <c r="AL719" i="1"/>
  <c r="AP719" i="1"/>
  <c r="AT719" i="1"/>
  <c r="AY578" i="1"/>
  <c r="BD579" i="1"/>
  <c r="BD433" i="1" s="1"/>
  <c r="R588" i="1"/>
  <c r="R608" i="1" s="1"/>
  <c r="V588" i="1"/>
  <c r="Z727" i="1" s="1"/>
  <c r="Z588" i="1"/>
  <c r="Z608" i="1" s="1"/>
  <c r="Z715" i="1" s="1"/>
  <c r="AH588" i="1"/>
  <c r="AH608" i="1" s="1"/>
  <c r="AL588" i="1"/>
  <c r="AL608" i="1" s="1"/>
  <c r="AP588" i="1"/>
  <c r="AT727" i="1" s="1"/>
  <c r="AT588" i="1"/>
  <c r="AT608" i="1" s="1"/>
  <c r="AT715" i="1" s="1"/>
  <c r="AX588" i="1"/>
  <c r="BB588" i="1"/>
  <c r="BF588" i="1"/>
  <c r="D77" i="9"/>
  <c r="H77" i="9"/>
  <c r="L77" i="9"/>
  <c r="P77" i="9"/>
  <c r="T77" i="9"/>
  <c r="X77" i="9"/>
  <c r="AB77" i="9"/>
  <c r="AF77" i="9"/>
  <c r="AJ77" i="9"/>
  <c r="AR77" i="9"/>
  <c r="AV77" i="9"/>
  <c r="K641" i="1"/>
  <c r="AE641" i="1"/>
  <c r="G630" i="1"/>
  <c r="K630" i="1"/>
  <c r="O630" i="1"/>
  <c r="S630" i="1"/>
  <c r="W630" i="1"/>
  <c r="AA630" i="1"/>
  <c r="AE630" i="1"/>
  <c r="AI630" i="1"/>
  <c r="AM630" i="1"/>
  <c r="AQ630" i="1"/>
  <c r="AU630" i="1"/>
  <c r="F642" i="1"/>
  <c r="Z642" i="1"/>
  <c r="AT642" i="1"/>
  <c r="F636" i="1"/>
  <c r="J636" i="1"/>
  <c r="N636" i="1"/>
  <c r="R636" i="1"/>
  <c r="V636" i="1"/>
  <c r="Z636" i="1"/>
  <c r="AD636" i="1"/>
  <c r="AH636" i="1"/>
  <c r="AL636" i="1"/>
  <c r="AP636" i="1"/>
  <c r="AT636" i="1"/>
  <c r="AO101" i="9"/>
  <c r="AO717" i="1"/>
  <c r="AW674" i="1"/>
  <c r="F101" i="9"/>
  <c r="F717" i="1"/>
  <c r="J101" i="9"/>
  <c r="J717" i="1"/>
  <c r="N101" i="9"/>
  <c r="N717" i="1"/>
  <c r="R101" i="9"/>
  <c r="R717" i="1"/>
  <c r="V101" i="9"/>
  <c r="V717" i="1"/>
  <c r="AA101" i="9"/>
  <c r="AA717" i="1"/>
  <c r="AF101" i="9"/>
  <c r="AF717" i="1"/>
  <c r="AK101" i="9"/>
  <c r="AK717" i="1"/>
  <c r="AS673" i="1"/>
  <c r="AS674" i="1" s="1"/>
  <c r="AS637" i="1"/>
  <c r="AS636" i="1" s="1"/>
  <c r="Y110" i="9"/>
  <c r="Y111" i="9" s="1"/>
  <c r="Y695" i="1"/>
  <c r="Y705" i="1" s="1"/>
  <c r="Y707" i="1" s="1"/>
  <c r="AS110" i="9"/>
  <c r="AS111" i="9" s="1"/>
  <c r="AS695" i="1"/>
  <c r="AS705" i="1" s="1"/>
  <c r="AD96" i="9"/>
  <c r="AD97" i="9" s="1"/>
  <c r="AD705" i="1"/>
  <c r="AD707" i="1" s="1"/>
  <c r="J111" i="9"/>
  <c r="N111" i="9"/>
  <c r="R111" i="9"/>
  <c r="V111" i="9"/>
  <c r="Z111" i="9"/>
  <c r="AH111" i="9"/>
  <c r="AL111" i="9"/>
  <c r="AP111" i="9"/>
  <c r="AT111" i="9"/>
  <c r="AY688" i="1"/>
  <c r="C695" i="1"/>
  <c r="G695" i="1"/>
  <c r="G705" i="1" s="1"/>
  <c r="G707" i="1" s="1"/>
  <c r="K695" i="1"/>
  <c r="O695" i="1"/>
  <c r="O705" i="1" s="1"/>
  <c r="O707" i="1" s="1"/>
  <c r="S695" i="1"/>
  <c r="W695" i="1"/>
  <c r="W705" i="1" s="1"/>
  <c r="W707" i="1" s="1"/>
  <c r="AA695" i="1"/>
  <c r="AE695" i="1"/>
  <c r="AE705" i="1" s="1"/>
  <c r="AE707" i="1" s="1"/>
  <c r="AM695" i="1"/>
  <c r="AQ695" i="1"/>
  <c r="AQ705" i="1" s="1"/>
  <c r="AU695" i="1"/>
  <c r="F97" i="9"/>
  <c r="J97" i="9"/>
  <c r="N97" i="9"/>
  <c r="R97" i="9"/>
  <c r="V97" i="9"/>
  <c r="Z97" i="9"/>
  <c r="AH97" i="9"/>
  <c r="AL97" i="9"/>
  <c r="AP97" i="9"/>
  <c r="AT97" i="9"/>
  <c r="C705" i="1"/>
  <c r="C707" i="1" s="1"/>
  <c r="K705" i="1"/>
  <c r="K707" i="1" s="1"/>
  <c r="S705" i="1"/>
  <c r="S707" i="1" s="1"/>
  <c r="AA705" i="1"/>
  <c r="AA707" i="1" s="1"/>
  <c r="AM705" i="1"/>
  <c r="AM707" i="1" s="1"/>
  <c r="AU705" i="1"/>
  <c r="AU707" i="1" s="1"/>
  <c r="T50" i="11"/>
  <c r="AN50" i="11"/>
  <c r="K111" i="9"/>
  <c r="O111" i="9"/>
  <c r="S111" i="9"/>
  <c r="W111" i="9"/>
  <c r="AA111" i="9"/>
  <c r="AE111" i="9"/>
  <c r="AM111" i="9"/>
  <c r="AQ111" i="9"/>
  <c r="AU111" i="9"/>
  <c r="D695" i="1"/>
  <c r="H695" i="1"/>
  <c r="L695" i="1"/>
  <c r="P695" i="1"/>
  <c r="T695" i="1"/>
  <c r="X695" i="1"/>
  <c r="AB695" i="1"/>
  <c r="AF695" i="1"/>
  <c r="AJ695" i="1"/>
  <c r="AR695" i="1"/>
  <c r="AV695" i="1"/>
  <c r="K97" i="9"/>
  <c r="O97" i="9"/>
  <c r="S97" i="9"/>
  <c r="W97" i="9"/>
  <c r="AA97" i="9"/>
  <c r="AE97" i="9"/>
  <c r="AM97" i="9"/>
  <c r="AQ97" i="9"/>
  <c r="AU97" i="9"/>
  <c r="D705" i="1"/>
  <c r="D707" i="1" s="1"/>
  <c r="H705" i="1"/>
  <c r="H707" i="1" s="1"/>
  <c r="L705" i="1"/>
  <c r="L707" i="1" s="1"/>
  <c r="P705" i="1"/>
  <c r="P707" i="1" s="1"/>
  <c r="T705" i="1"/>
  <c r="T707" i="1" s="1"/>
  <c r="X705" i="1"/>
  <c r="X707" i="1" s="1"/>
  <c r="AB705" i="1"/>
  <c r="AB707" i="1" s="1"/>
  <c r="AF705" i="1"/>
  <c r="AF707" i="1" s="1"/>
  <c r="AJ705" i="1"/>
  <c r="AJ707" i="1" s="1"/>
  <c r="AR705" i="1"/>
  <c r="AR707" i="1" s="1"/>
  <c r="AV705" i="1"/>
  <c r="AJ50" i="11"/>
  <c r="AJ48" i="11"/>
  <c r="AJ53" i="11" s="1"/>
  <c r="BA677" i="1"/>
  <c r="L111" i="9"/>
  <c r="P111" i="9"/>
  <c r="T111" i="9"/>
  <c r="X111" i="9"/>
  <c r="AB111" i="9"/>
  <c r="AF111" i="9"/>
  <c r="AJ111" i="9"/>
  <c r="AR111" i="9"/>
  <c r="AV111" i="9"/>
  <c r="E695" i="1"/>
  <c r="I695" i="1"/>
  <c r="M695" i="1"/>
  <c r="Q695" i="1"/>
  <c r="Q705" i="1" s="1"/>
  <c r="Q707" i="1" s="1"/>
  <c r="U695" i="1"/>
  <c r="AC695" i="1"/>
  <c r="AG695" i="1"/>
  <c r="AK695" i="1"/>
  <c r="AK705" i="1" s="1"/>
  <c r="AK707" i="1" s="1"/>
  <c r="AO695" i="1"/>
  <c r="AW695" i="1"/>
  <c r="L97" i="9"/>
  <c r="P97" i="9"/>
  <c r="T97" i="9"/>
  <c r="X97" i="9"/>
  <c r="AB97" i="9"/>
  <c r="AF97" i="9"/>
  <c r="AJ97" i="9"/>
  <c r="AR97" i="9"/>
  <c r="AV97" i="9"/>
  <c r="E705" i="1"/>
  <c r="E707" i="1" s="1"/>
  <c r="I705" i="1"/>
  <c r="I707" i="1" s="1"/>
  <c r="M705" i="1"/>
  <c r="M707" i="1" s="1"/>
  <c r="U705" i="1"/>
  <c r="U707" i="1" s="1"/>
  <c r="AC705" i="1"/>
  <c r="AC707" i="1" s="1"/>
  <c r="AG705" i="1"/>
  <c r="AG707" i="1" s="1"/>
  <c r="AO705" i="1"/>
  <c r="AO707" i="1" s="1"/>
  <c r="AW705" i="1"/>
  <c r="J50" i="11"/>
  <c r="AD50" i="11"/>
  <c r="AO50" i="11"/>
  <c r="E111" i="9"/>
  <c r="M111" i="9"/>
  <c r="Q111" i="9"/>
  <c r="U111" i="9"/>
  <c r="AC111" i="9"/>
  <c r="AG111" i="9"/>
  <c r="AK111" i="9"/>
  <c r="AO111" i="9"/>
  <c r="AW111" i="9"/>
  <c r="F695" i="1"/>
  <c r="F705" i="1" s="1"/>
  <c r="F707" i="1" s="1"/>
  <c r="J695" i="1"/>
  <c r="N695" i="1"/>
  <c r="R695" i="1"/>
  <c r="R705" i="1" s="1"/>
  <c r="R707" i="1" s="1"/>
  <c r="V695" i="1"/>
  <c r="V705" i="1" s="1"/>
  <c r="V707" i="1" s="1"/>
  <c r="Z695" i="1"/>
  <c r="AH695" i="1"/>
  <c r="AL695" i="1"/>
  <c r="AL705" i="1" s="1"/>
  <c r="AP695" i="1"/>
  <c r="AP705" i="1" s="1"/>
  <c r="AP707" i="1" s="1"/>
  <c r="AT695" i="1"/>
  <c r="M97" i="9"/>
  <c r="Q97" i="9"/>
  <c r="U97" i="9"/>
  <c r="AC97" i="9"/>
  <c r="AG97" i="9"/>
  <c r="AK97" i="9"/>
  <c r="AO97" i="9"/>
  <c r="AW97" i="9"/>
  <c r="J705" i="1"/>
  <c r="J707" i="1" s="1"/>
  <c r="N705" i="1"/>
  <c r="N707" i="1" s="1"/>
  <c r="Z705" i="1"/>
  <c r="Z707" i="1" s="1"/>
  <c r="AH705" i="1"/>
  <c r="AT705" i="1"/>
  <c r="AT707" i="1" s="1"/>
  <c r="O50" i="11"/>
  <c r="AI50" i="11"/>
  <c r="Y7" i="11"/>
  <c r="AS7" i="11"/>
  <c r="AD27" i="11"/>
  <c r="T29" i="11"/>
  <c r="AN29" i="11"/>
  <c r="AD31" i="11"/>
  <c r="J32" i="11"/>
  <c r="AD32" i="11"/>
  <c r="Y45" i="11"/>
  <c r="Y46" i="11"/>
  <c r="Y51" i="11" s="1"/>
  <c r="Y47" i="11"/>
  <c r="Y52" i="11" s="1"/>
  <c r="AO47" i="11"/>
  <c r="AO52" i="11" s="1"/>
  <c r="I48" i="11"/>
  <c r="I53" i="11" s="1"/>
  <c r="M48" i="11"/>
  <c r="M53" i="11" s="1"/>
  <c r="Q48" i="11"/>
  <c r="Q53" i="11" s="1"/>
  <c r="U48" i="11"/>
  <c r="U53" i="11" s="1"/>
  <c r="AC48" i="11"/>
  <c r="AC53" i="11" s="1"/>
  <c r="AG48" i="11"/>
  <c r="AG53" i="11" s="1"/>
  <c r="AK48" i="11"/>
  <c r="AK53" i="11" s="1"/>
  <c r="AD59" i="11"/>
  <c r="G57" i="11"/>
  <c r="K57" i="11"/>
  <c r="O57" i="11"/>
  <c r="S57" i="11"/>
  <c r="W57" i="11"/>
  <c r="AA57" i="11"/>
  <c r="AE57" i="11"/>
  <c r="AM57" i="11"/>
  <c r="L67" i="11"/>
  <c r="P67" i="11"/>
  <c r="X67" i="11"/>
  <c r="AB67" i="11"/>
  <c r="AF67" i="11"/>
  <c r="AJ67" i="11"/>
  <c r="N75" i="11"/>
  <c r="R75" i="11"/>
  <c r="V75" i="11"/>
  <c r="AH75" i="11"/>
  <c r="AL75" i="11"/>
  <c r="P9" i="11"/>
  <c r="O9" i="11" s="1"/>
  <c r="AJ9" i="11"/>
  <c r="AI9" i="11" s="1"/>
  <c r="O27" i="11"/>
  <c r="AI27" i="11"/>
  <c r="Y75" i="11"/>
  <c r="O31" i="11"/>
  <c r="AI31" i="11"/>
  <c r="O32" i="11"/>
  <c r="AI32" i="11"/>
  <c r="J46" i="11"/>
  <c r="J51" i="11" s="1"/>
  <c r="AD46" i="11"/>
  <c r="AD51" i="11" s="1"/>
  <c r="J47" i="11"/>
  <c r="J52" i="11" s="1"/>
  <c r="AD47" i="11"/>
  <c r="AD52" i="11" s="1"/>
  <c r="F48" i="11"/>
  <c r="F53" i="11" s="1"/>
  <c r="N48" i="11"/>
  <c r="N53" i="11" s="1"/>
  <c r="R48" i="11"/>
  <c r="R53" i="11" s="1"/>
  <c r="V48" i="11"/>
  <c r="V53" i="11" s="1"/>
  <c r="Z48" i="11"/>
  <c r="Z53" i="11" s="1"/>
  <c r="AH48" i="11"/>
  <c r="AH53" i="11" s="1"/>
  <c r="AL48" i="11"/>
  <c r="AL53" i="11" s="1"/>
  <c r="AI59" i="11"/>
  <c r="H57" i="11"/>
  <c r="L57" i="11"/>
  <c r="P57" i="11"/>
  <c r="T57" i="11"/>
  <c r="X57" i="11"/>
  <c r="AB57" i="11"/>
  <c r="AF57" i="11"/>
  <c r="AJ57" i="11"/>
  <c r="T27" i="11"/>
  <c r="AN27" i="11"/>
  <c r="T67" i="11"/>
  <c r="AN67" i="11"/>
  <c r="AD29" i="11"/>
  <c r="T31" i="11"/>
  <c r="AN31" i="11"/>
  <c r="T32" i="11"/>
  <c r="AN32" i="11"/>
  <c r="AJ38" i="11"/>
  <c r="AO269" i="1" s="1"/>
  <c r="AO275" i="1" s="1"/>
  <c r="O46" i="11"/>
  <c r="O51" i="11" s="1"/>
  <c r="AI46" i="11"/>
  <c r="AI51" i="11" s="1"/>
  <c r="G48" i="11"/>
  <c r="G53" i="11" s="1"/>
  <c r="K48" i="11"/>
  <c r="K53" i="11" s="1"/>
  <c r="S48" i="11"/>
  <c r="S53" i="11" s="1"/>
  <c r="W48" i="11"/>
  <c r="W53" i="11" s="1"/>
  <c r="AA48" i="11"/>
  <c r="AA53" i="11" s="1"/>
  <c r="AE48" i="11"/>
  <c r="AE53" i="11" s="1"/>
  <c r="AM48" i="11"/>
  <c r="AM53" i="11" s="1"/>
  <c r="I57" i="11"/>
  <c r="M57" i="11"/>
  <c r="Q57" i="11"/>
  <c r="U57" i="11"/>
  <c r="Y57" i="11"/>
  <c r="AC57" i="11"/>
  <c r="AG57" i="11"/>
  <c r="AK57" i="11"/>
  <c r="AO57" i="11"/>
  <c r="Z67" i="11"/>
  <c r="Y27" i="11"/>
  <c r="T46" i="11"/>
  <c r="T51" i="11" s="1"/>
  <c r="AN46" i="11"/>
  <c r="AN51" i="11" s="1"/>
  <c r="T47" i="11"/>
  <c r="T52" i="11" s="1"/>
  <c r="AN47" i="11"/>
  <c r="AN52" i="11" s="1"/>
  <c r="H48" i="11"/>
  <c r="H53" i="11" s="1"/>
  <c r="L48" i="11"/>
  <c r="L53" i="11" s="1"/>
  <c r="P48" i="11"/>
  <c r="P53" i="11" s="1"/>
  <c r="X48" i="11"/>
  <c r="X53" i="11" s="1"/>
  <c r="AB48" i="11"/>
  <c r="AB53" i="11" s="1"/>
  <c r="AF48" i="11"/>
  <c r="AF53" i="11" s="1"/>
  <c r="Q75" i="11"/>
  <c r="AK75" i="11"/>
  <c r="J62" i="11"/>
  <c r="N62" i="11"/>
  <c r="R62" i="11"/>
  <c r="V62" i="11"/>
  <c r="Z62" i="11"/>
  <c r="AD62" i="11"/>
  <c r="AH62" i="11"/>
  <c r="AL62" i="11"/>
  <c r="I64" i="11"/>
  <c r="I66" i="11" s="1"/>
  <c r="N67" i="11" s="1"/>
  <c r="M64" i="11"/>
  <c r="M66" i="11" s="1"/>
  <c r="M67" i="11" s="1"/>
  <c r="Q64" i="11"/>
  <c r="Q66" i="11" s="1"/>
  <c r="Q67" i="11" s="1"/>
  <c r="U64" i="11"/>
  <c r="U66" i="11" s="1"/>
  <c r="U67" i="11" s="1"/>
  <c r="Y64" i="11"/>
  <c r="Y66" i="11" s="1"/>
  <c r="AC64" i="11"/>
  <c r="AC66" i="11" s="1"/>
  <c r="AC67" i="11" s="1"/>
  <c r="AG64" i="11"/>
  <c r="AG66" i="11" s="1"/>
  <c r="AG67" i="11" s="1"/>
  <c r="AK64" i="11"/>
  <c r="AK66" i="11" s="1"/>
  <c r="AK67" i="11" s="1"/>
  <c r="AO64" i="11"/>
  <c r="AO66" i="11" s="1"/>
  <c r="AO67" i="11" s="1"/>
  <c r="H70" i="11"/>
  <c r="L70" i="11"/>
  <c r="P70" i="11"/>
  <c r="T70" i="11"/>
  <c r="X70" i="11"/>
  <c r="AB70" i="11"/>
  <c r="AF70" i="11"/>
  <c r="AJ70" i="11"/>
  <c r="AN70" i="11"/>
  <c r="G72" i="11"/>
  <c r="G74" i="11" s="1"/>
  <c r="K74" i="11" s="1"/>
  <c r="K72" i="11"/>
  <c r="O72" i="11"/>
  <c r="O74" i="11" s="1"/>
  <c r="S72" i="11"/>
  <c r="S74" i="11" s="1"/>
  <c r="S75" i="11" s="1"/>
  <c r="W72" i="11"/>
  <c r="W74" i="11" s="1"/>
  <c r="W75" i="11" s="1"/>
  <c r="AA72" i="11"/>
  <c r="AA74" i="11" s="1"/>
  <c r="AF75" i="11" s="1"/>
  <c r="AE72" i="11"/>
  <c r="AI72" i="11"/>
  <c r="AI74" i="11" s="1"/>
  <c r="AM72" i="11"/>
  <c r="AM74" i="11" s="1"/>
  <c r="AM75" i="11" s="1"/>
  <c r="G62" i="11"/>
  <c r="K62" i="11"/>
  <c r="O62" i="11"/>
  <c r="S62" i="11"/>
  <c r="W62" i="11"/>
  <c r="AA62" i="11"/>
  <c r="AE62" i="11"/>
  <c r="AI62" i="11"/>
  <c r="AM62" i="11"/>
  <c r="I70" i="11"/>
  <c r="M70" i="11"/>
  <c r="Q70" i="11"/>
  <c r="U70" i="11"/>
  <c r="Y70" i="11"/>
  <c r="AC70" i="11"/>
  <c r="AG70" i="11"/>
  <c r="AK70" i="11"/>
  <c r="AO70" i="11"/>
  <c r="H62" i="11"/>
  <c r="L62" i="11"/>
  <c r="P62" i="11"/>
  <c r="T62" i="11"/>
  <c r="X62" i="11"/>
  <c r="AB62" i="11"/>
  <c r="AF62" i="11"/>
  <c r="AJ62" i="11"/>
  <c r="AN62" i="11"/>
  <c r="J70" i="11"/>
  <c r="N70" i="11"/>
  <c r="R70" i="11"/>
  <c r="V70" i="11"/>
  <c r="Z70" i="11"/>
  <c r="AD70" i="11"/>
  <c r="AH70" i="11"/>
  <c r="AL70" i="11"/>
  <c r="K212" i="1"/>
  <c r="S212" i="1"/>
  <c r="AA212" i="1"/>
  <c r="AI212" i="1"/>
  <c r="AQ212" i="1"/>
  <c r="K218" i="1"/>
  <c r="S218" i="1"/>
  <c r="W218" i="1"/>
  <c r="AA218" i="1"/>
  <c r="AE218" i="1"/>
  <c r="AM223" i="1"/>
  <c r="L218" i="1"/>
  <c r="P218" i="1"/>
  <c r="X218" i="1"/>
  <c r="AB218" i="1"/>
  <c r="AF218" i="1"/>
  <c r="AJ218" i="1"/>
  <c r="O223" i="1"/>
  <c r="AE223" i="1"/>
  <c r="J102" i="9"/>
  <c r="J112" i="9" s="1"/>
  <c r="AS233" i="1"/>
  <c r="AX232" i="1"/>
  <c r="W102" i="9"/>
  <c r="E212" i="1"/>
  <c r="M212" i="1"/>
  <c r="Q212" i="1"/>
  <c r="U212" i="1"/>
  <c r="Y212" i="1"/>
  <c r="AC212" i="1"/>
  <c r="AG212" i="1"/>
  <c r="AK212" i="1"/>
  <c r="AO212" i="1"/>
  <c r="AV228" i="1"/>
  <c r="BA227" i="1"/>
  <c r="BB232" i="1"/>
  <c r="AM218" i="1"/>
  <c r="AQ218" i="1"/>
  <c r="AU218" i="1"/>
  <c r="E223" i="1"/>
  <c r="M223" i="1"/>
  <c r="Q223" i="1"/>
  <c r="U223" i="1"/>
  <c r="Y223" i="1"/>
  <c r="AC223" i="1"/>
  <c r="AG223" i="1"/>
  <c r="AK223" i="1"/>
  <c r="AO223" i="1"/>
  <c r="AS223" i="1"/>
  <c r="AW223" i="1"/>
  <c r="AU223" i="1"/>
  <c r="E228" i="1"/>
  <c r="Q228" i="1"/>
  <c r="U228" i="1"/>
  <c r="Y228" i="1"/>
  <c r="AC228" i="1"/>
  <c r="AG228" i="1"/>
  <c r="AK228" i="1"/>
  <c r="AO228" i="1"/>
  <c r="F233" i="1"/>
  <c r="N233" i="1"/>
  <c r="R233" i="1"/>
  <c r="V233" i="1"/>
  <c r="Z233" i="1"/>
  <c r="AD233" i="1"/>
  <c r="AH233" i="1"/>
  <c r="AL233" i="1"/>
  <c r="AP233" i="1"/>
  <c r="AT233" i="1"/>
  <c r="D102" i="9"/>
  <c r="P102" i="9"/>
  <c r="P112" i="9" s="1"/>
  <c r="P113" i="9" s="1"/>
  <c r="AJ102" i="9"/>
  <c r="R102" i="9"/>
  <c r="R112" i="9" s="1"/>
  <c r="AA102" i="9"/>
  <c r="AD102" i="9"/>
  <c r="AD112" i="9" s="1"/>
  <c r="J105" i="9"/>
  <c r="J106" i="9" s="1"/>
  <c r="AW218" i="1"/>
  <c r="K223" i="1"/>
  <c r="S223" i="1"/>
  <c r="AA223" i="1"/>
  <c r="AI223" i="1"/>
  <c r="AQ223" i="1"/>
  <c r="K228" i="1"/>
  <c r="O228" i="1"/>
  <c r="S228" i="1"/>
  <c r="W228" i="1"/>
  <c r="AA228" i="1"/>
  <c r="AE228" i="1"/>
  <c r="AI228" i="1"/>
  <c r="AM228" i="1"/>
  <c r="AQ228" i="1"/>
  <c r="AU228" i="1"/>
  <c r="D233" i="1"/>
  <c r="L233" i="1"/>
  <c r="P233" i="1"/>
  <c r="T233" i="1"/>
  <c r="X233" i="1"/>
  <c r="AB233" i="1"/>
  <c r="AF233" i="1"/>
  <c r="AJ233" i="1"/>
  <c r="AN233" i="1"/>
  <c r="AR233" i="1"/>
  <c r="AX211" i="1"/>
  <c r="AS212" i="1"/>
  <c r="BB211" i="1"/>
  <c r="AW212" i="1"/>
  <c r="F212" i="1"/>
  <c r="N212" i="1"/>
  <c r="V212" i="1"/>
  <c r="AD212" i="1"/>
  <c r="AL212" i="1"/>
  <c r="AT212" i="1"/>
  <c r="I131" i="9"/>
  <c r="I42" i="9"/>
  <c r="I47" i="9" s="1"/>
  <c r="Q131" i="9"/>
  <c r="Q42" i="9"/>
  <c r="Q47" i="9" s="1"/>
  <c r="U131" i="9"/>
  <c r="U42" i="9"/>
  <c r="U47" i="9" s="1"/>
  <c r="Y131" i="9"/>
  <c r="AG131" i="9"/>
  <c r="AG42" i="9"/>
  <c r="AG47" i="9" s="1"/>
  <c r="AK131" i="9"/>
  <c r="AK42" i="9"/>
  <c r="AK47" i="9" s="1"/>
  <c r="AO131" i="9"/>
  <c r="AO42" i="9"/>
  <c r="AO47" i="9" s="1"/>
  <c r="AW131" i="9"/>
  <c r="AW42" i="9"/>
  <c r="AW47" i="9" s="1"/>
  <c r="D212" i="1"/>
  <c r="L212" i="1"/>
  <c r="P212" i="1"/>
  <c r="T212" i="1"/>
  <c r="X212" i="1"/>
  <c r="AB212" i="1"/>
  <c r="AF212" i="1"/>
  <c r="AJ212" i="1"/>
  <c r="AN212" i="1"/>
  <c r="AR212" i="1"/>
  <c r="BA211" i="1"/>
  <c r="AV212" i="1"/>
  <c r="R212" i="1"/>
  <c r="Z212" i="1"/>
  <c r="AH212" i="1"/>
  <c r="AP212" i="1"/>
  <c r="AU212" i="1"/>
  <c r="F218" i="1"/>
  <c r="N218" i="1"/>
  <c r="R218" i="1"/>
  <c r="V218" i="1"/>
  <c r="Z218" i="1"/>
  <c r="AH218" i="1"/>
  <c r="AL218" i="1"/>
  <c r="AP218" i="1"/>
  <c r="AT218" i="1"/>
  <c r="AX227" i="1"/>
  <c r="AS228" i="1"/>
  <c r="AW228" i="1"/>
  <c r="BB227" i="1"/>
  <c r="AC131" i="9"/>
  <c r="AC42" i="9"/>
  <c r="AC47" i="9" s="1"/>
  <c r="AZ232" i="1"/>
  <c r="AV233" i="1"/>
  <c r="H42" i="9"/>
  <c r="H47" i="9" s="1"/>
  <c r="G131" i="9"/>
  <c r="G42" i="9"/>
  <c r="G47" i="9" s="1"/>
  <c r="AV223" i="1"/>
  <c r="F105" i="9"/>
  <c r="F106" i="9" s="1"/>
  <c r="Z105" i="9"/>
  <c r="Z106" i="9" s="1"/>
  <c r="AT105" i="9"/>
  <c r="AT106" i="9" s="1"/>
  <c r="F131" i="9"/>
  <c r="F42" i="9"/>
  <c r="N131" i="9"/>
  <c r="N42" i="9"/>
  <c r="R131" i="9"/>
  <c r="R42" i="9"/>
  <c r="V131" i="9"/>
  <c r="V42" i="9"/>
  <c r="Z131" i="9"/>
  <c r="Z42" i="9"/>
  <c r="AD131" i="9"/>
  <c r="AH131" i="9"/>
  <c r="AH42" i="9"/>
  <c r="AL131" i="9"/>
  <c r="AL42" i="9"/>
  <c r="AP131" i="9"/>
  <c r="AP42" i="9"/>
  <c r="AT131" i="9"/>
  <c r="AT42" i="9"/>
  <c r="E91" i="9"/>
  <c r="E88" i="9" s="1"/>
  <c r="E80" i="9"/>
  <c r="E69" i="9"/>
  <c r="I80" i="9"/>
  <c r="I69" i="9"/>
  <c r="M80" i="9"/>
  <c r="M69" i="9"/>
  <c r="Q80" i="9"/>
  <c r="Q69" i="9"/>
  <c r="U91" i="9"/>
  <c r="U88" i="9" s="1"/>
  <c r="U80" i="9"/>
  <c r="U69" i="9"/>
  <c r="AC80" i="9"/>
  <c r="AC69" i="9"/>
  <c r="AG80" i="9"/>
  <c r="AG69" i="9"/>
  <c r="AK80" i="9"/>
  <c r="AK69" i="9"/>
  <c r="AO91" i="9"/>
  <c r="AO88" i="9" s="1"/>
  <c r="AO80" i="9"/>
  <c r="AO69" i="9"/>
  <c r="AW80" i="9"/>
  <c r="AW69" i="9"/>
  <c r="W112" i="9"/>
  <c r="Y130" i="9"/>
  <c r="Y64" i="9"/>
  <c r="AA112" i="9"/>
  <c r="O69" i="9"/>
  <c r="AE112" i="9"/>
  <c r="C112" i="9"/>
  <c r="D112" i="9"/>
  <c r="Q102" i="9"/>
  <c r="Y102" i="9"/>
  <c r="AG102" i="9"/>
  <c r="L102" i="9"/>
  <c r="V102" i="9"/>
  <c r="T102" i="9"/>
  <c r="X102" i="9"/>
  <c r="AB102" i="9"/>
  <c r="AF102" i="9"/>
  <c r="AJ112" i="9"/>
  <c r="AJ113" i="9" s="1"/>
  <c r="M102" i="9"/>
  <c r="S102" i="9"/>
  <c r="E112" i="9"/>
  <c r="AT102" i="9"/>
  <c r="AO102" i="9"/>
  <c r="F102" i="9"/>
  <c r="U102" i="9"/>
  <c r="AC102" i="9"/>
  <c r="C484" i="1"/>
  <c r="C486" i="1" s="1"/>
  <c r="A768" i="1"/>
  <c r="A782" i="1"/>
  <c r="A775" i="1"/>
  <c r="AS101" i="9" l="1"/>
  <c r="AS707" i="1"/>
  <c r="AU717" i="1"/>
  <c r="AR717" i="1"/>
  <c r="AQ131" i="9"/>
  <c r="AQ42" i="9"/>
  <c r="AQ47" i="9" s="1"/>
  <c r="W131" i="9"/>
  <c r="W42" i="9"/>
  <c r="W47" i="9" s="1"/>
  <c r="AM131" i="9"/>
  <c r="AM42" i="9"/>
  <c r="AM47" i="9" s="1"/>
  <c r="S42" i="9"/>
  <c r="S47" i="9" s="1"/>
  <c r="S131" i="9"/>
  <c r="J714" i="1"/>
  <c r="J195" i="1"/>
  <c r="J201" i="1"/>
  <c r="J194" i="1"/>
  <c r="Y714" i="1"/>
  <c r="Y195" i="1"/>
  <c r="Y194" i="1"/>
  <c r="Y201" i="1"/>
  <c r="AX169" i="1"/>
  <c r="AX170" i="1"/>
  <c r="AX171" i="1"/>
  <c r="AI75" i="11"/>
  <c r="AN75" i="11"/>
  <c r="AJ74" i="11"/>
  <c r="AL714" i="1"/>
  <c r="AL198" i="1"/>
  <c r="AL197" i="1"/>
  <c r="AL200" i="1"/>
  <c r="AL195" i="1"/>
  <c r="AL201" i="1"/>
  <c r="AL196" i="1"/>
  <c r="AL199" i="1"/>
  <c r="O75" i="11"/>
  <c r="T75" i="11"/>
  <c r="P74" i="11"/>
  <c r="P75" i="11" s="1"/>
  <c r="Y67" i="11"/>
  <c r="AD67" i="11"/>
  <c r="AN59" i="9"/>
  <c r="AN720" i="1"/>
  <c r="AS354" i="1"/>
  <c r="AS359" i="1" s="1"/>
  <c r="AS395" i="1" s="1"/>
  <c r="AS351" i="1"/>
  <c r="E786" i="1"/>
  <c r="E777" i="1"/>
  <c r="E775" i="1" s="1"/>
  <c r="E483" i="1" s="1"/>
  <c r="E770" i="1"/>
  <c r="E768" i="1" s="1"/>
  <c r="E482" i="1" s="1"/>
  <c r="E784" i="1"/>
  <c r="E782" i="1" s="1"/>
  <c r="E484" i="1" s="1"/>
  <c r="E486" i="1" s="1"/>
  <c r="E779" i="1"/>
  <c r="E772" i="1"/>
  <c r="X75" i="11"/>
  <c r="AH67" i="11"/>
  <c r="AD48" i="11"/>
  <c r="AD53" i="11" s="1"/>
  <c r="N102" i="9"/>
  <c r="N112" i="9" s="1"/>
  <c r="BD588" i="1"/>
  <c r="O102" i="9"/>
  <c r="O112" i="9" s="1"/>
  <c r="AR575" i="1"/>
  <c r="AR361" i="1" s="1"/>
  <c r="AR365" i="1" s="1"/>
  <c r="AR430" i="1"/>
  <c r="X575" i="1"/>
  <c r="X361" i="1" s="1"/>
  <c r="X365" i="1" s="1"/>
  <c r="X430" i="1"/>
  <c r="D575" i="1"/>
  <c r="D361" i="1" s="1"/>
  <c r="D365" i="1" s="1"/>
  <c r="D430" i="1"/>
  <c r="AR104" i="9"/>
  <c r="AR89" i="9"/>
  <c r="AB104" i="9"/>
  <c r="AB89" i="9"/>
  <c r="L104" i="9"/>
  <c r="L89" i="9"/>
  <c r="AP608" i="1"/>
  <c r="V608" i="1"/>
  <c r="AE575" i="1"/>
  <c r="AE361" i="1" s="1"/>
  <c r="AE365" i="1" s="1"/>
  <c r="AE430" i="1"/>
  <c r="K575" i="1"/>
  <c r="K430" i="1"/>
  <c r="Y575" i="1"/>
  <c r="Y430" i="1"/>
  <c r="AQ104" i="9"/>
  <c r="AQ89" i="9"/>
  <c r="AA104" i="9"/>
  <c r="AA89" i="9"/>
  <c r="K104" i="9"/>
  <c r="K105" i="9" s="1"/>
  <c r="K106" i="9" s="1"/>
  <c r="K89" i="9"/>
  <c r="K469" i="1"/>
  <c r="K468" i="1"/>
  <c r="AI575" i="1"/>
  <c r="AI430" i="1"/>
  <c r="AP361" i="1"/>
  <c r="AP365" i="1" s="1"/>
  <c r="AO464" i="1"/>
  <c r="AO465" i="1" s="1"/>
  <c r="AO461" i="1"/>
  <c r="AG464" i="1"/>
  <c r="U464" i="1"/>
  <c r="U465" i="1" s="1"/>
  <c r="U461" i="1"/>
  <c r="M464" i="1"/>
  <c r="E464" i="1"/>
  <c r="E465" i="1" s="1"/>
  <c r="E461" i="1"/>
  <c r="AU108" i="9"/>
  <c r="AU394" i="1"/>
  <c r="AU329" i="1" s="1"/>
  <c r="AU63" i="9" s="1"/>
  <c r="AU402" i="1"/>
  <c r="AU389" i="1"/>
  <c r="AU235" i="1"/>
  <c r="AU323" i="1"/>
  <c r="AU61" i="9" s="1"/>
  <c r="AA108" i="9"/>
  <c r="AA394" i="1"/>
  <c r="AA329" i="1" s="1"/>
  <c r="AA63" i="9" s="1"/>
  <c r="AA402" i="1"/>
  <c r="AA389" i="1"/>
  <c r="AA235" i="1"/>
  <c r="AA323" i="1"/>
  <c r="AA61" i="9" s="1"/>
  <c r="G108" i="9"/>
  <c r="G394" i="1"/>
  <c r="G402" i="1"/>
  <c r="G389" i="1"/>
  <c r="G235" i="1"/>
  <c r="G237" i="1" s="1"/>
  <c r="G323" i="1"/>
  <c r="G61" i="9" s="1"/>
  <c r="BA619" i="1"/>
  <c r="X617" i="1"/>
  <c r="X622" i="1" s="1"/>
  <c r="AT67" i="9"/>
  <c r="AT447" i="1"/>
  <c r="AT448" i="1" s="1"/>
  <c r="AT449" i="1" s="1"/>
  <c r="AT450" i="1" s="1"/>
  <c r="AT431" i="1"/>
  <c r="AV464" i="1"/>
  <c r="AJ464" i="1"/>
  <c r="AJ465" i="1" s="1"/>
  <c r="AJ461" i="1"/>
  <c r="AB464" i="1"/>
  <c r="P464" i="1"/>
  <c r="P465" i="1" s="1"/>
  <c r="P461" i="1"/>
  <c r="H464" i="1"/>
  <c r="AL108" i="9"/>
  <c r="AL323" i="1"/>
  <c r="AL61" i="9" s="1"/>
  <c r="AL394" i="1"/>
  <c r="AL329" i="1" s="1"/>
  <c r="AL63" i="9" s="1"/>
  <c r="AL402" i="1"/>
  <c r="AL389" i="1"/>
  <c r="AL235" i="1"/>
  <c r="R108" i="9"/>
  <c r="R323" i="1"/>
  <c r="R61" i="9" s="1"/>
  <c r="R394" i="1"/>
  <c r="R329" i="1" s="1"/>
  <c r="R63" i="9" s="1"/>
  <c r="R402" i="1"/>
  <c r="R389" i="1"/>
  <c r="R235" i="1"/>
  <c r="AZ619" i="1"/>
  <c r="AQ618" i="1"/>
  <c r="AQ623" i="1" s="1"/>
  <c r="AJ116" i="9"/>
  <c r="AA624" i="1"/>
  <c r="W618" i="1"/>
  <c r="W623" i="1" s="1"/>
  <c r="P116" i="9"/>
  <c r="T343" i="1"/>
  <c r="T347" i="1" s="1"/>
  <c r="T349" i="1" s="1"/>
  <c r="T314" i="1"/>
  <c r="T214" i="1"/>
  <c r="AQ464" i="1"/>
  <c r="AA464" i="1"/>
  <c r="S464" i="1"/>
  <c r="G464" i="1"/>
  <c r="O36" i="9"/>
  <c r="O321" i="1"/>
  <c r="O58" i="9" s="1"/>
  <c r="AO108" i="9"/>
  <c r="AO109" i="9" s="1"/>
  <c r="AO235" i="1"/>
  <c r="AO323" i="1"/>
  <c r="AO61" i="9" s="1"/>
  <c r="AO394" i="1"/>
  <c r="AO329" i="1" s="1"/>
  <c r="AO63" i="9" s="1"/>
  <c r="AO402" i="1"/>
  <c r="AO389" i="1"/>
  <c r="U108" i="9"/>
  <c r="U109" i="9" s="1"/>
  <c r="U235" i="1"/>
  <c r="U323" i="1"/>
  <c r="U61" i="9" s="1"/>
  <c r="U394" i="1"/>
  <c r="U329" i="1" s="1"/>
  <c r="U63" i="9" s="1"/>
  <c r="U402" i="1"/>
  <c r="U389" i="1"/>
  <c r="E108" i="9"/>
  <c r="E109" i="9" s="1"/>
  <c r="E235" i="1"/>
  <c r="E323" i="1"/>
  <c r="E61" i="9" s="1"/>
  <c r="E394" i="1"/>
  <c r="E402" i="1"/>
  <c r="E389" i="1"/>
  <c r="AF39" i="9"/>
  <c r="L39" i="9"/>
  <c r="AP617" i="1"/>
  <c r="AP622" i="1" s="1"/>
  <c r="AU116" i="9"/>
  <c r="V617" i="1"/>
  <c r="V622" i="1" s="1"/>
  <c r="AA116" i="9"/>
  <c r="AH43" i="9"/>
  <c r="N43" i="9"/>
  <c r="N47" i="9" s="1"/>
  <c r="AP464" i="1"/>
  <c r="AH464" i="1"/>
  <c r="V464" i="1"/>
  <c r="N464" i="1"/>
  <c r="C35" i="9"/>
  <c r="C39" i="9" s="1"/>
  <c r="C313" i="1"/>
  <c r="C57" i="9" s="1"/>
  <c r="AW622" i="1"/>
  <c r="BB617" i="1"/>
  <c r="AO621" i="1"/>
  <c r="AK624" i="1"/>
  <c r="AG623" i="1"/>
  <c r="AL116" i="9"/>
  <c r="AC622" i="1"/>
  <c r="U621" i="1"/>
  <c r="Q624" i="1"/>
  <c r="R116" i="9"/>
  <c r="M39" i="9"/>
  <c r="E621" i="1"/>
  <c r="P52" i="9"/>
  <c r="P132" i="9" s="1"/>
  <c r="P324" i="1"/>
  <c r="P62" i="9" s="1"/>
  <c r="AW51" i="9"/>
  <c r="AW330" i="1"/>
  <c r="AO51" i="9"/>
  <c r="AO467" i="1"/>
  <c r="AO330" i="1"/>
  <c r="V51" i="9"/>
  <c r="V467" i="1"/>
  <c r="V330" i="1"/>
  <c r="AI388" i="1"/>
  <c r="O388" i="1"/>
  <c r="AR52" i="9"/>
  <c r="AR132" i="9" s="1"/>
  <c r="AR324" i="1"/>
  <c r="AR62" i="9" s="1"/>
  <c r="AM51" i="9"/>
  <c r="AM330" i="1"/>
  <c r="U51" i="9"/>
  <c r="U467" i="1"/>
  <c r="U330" i="1"/>
  <c r="P51" i="9"/>
  <c r="P330" i="1"/>
  <c r="AD108" i="9"/>
  <c r="AD323" i="1"/>
  <c r="AD61" i="9" s="1"/>
  <c r="AD394" i="1"/>
  <c r="AD329" i="1" s="1"/>
  <c r="AD63" i="9" s="1"/>
  <c r="AD389" i="1"/>
  <c r="AD235" i="1"/>
  <c r="J388" i="1"/>
  <c r="AD11" i="1"/>
  <c r="AD27" i="9" s="1"/>
  <c r="AD10" i="1"/>
  <c r="AI176" i="1"/>
  <c r="AI61" i="1"/>
  <c r="AC169" i="1"/>
  <c r="AC165" i="1"/>
  <c r="AB52" i="9"/>
  <c r="AB132" i="9" s="1"/>
  <c r="AB324" i="1"/>
  <c r="AB62" i="9" s="1"/>
  <c r="AQ51" i="9"/>
  <c r="AQ467" i="1"/>
  <c r="AQ330" i="1"/>
  <c r="X51" i="9"/>
  <c r="X330" i="1"/>
  <c r="T313" i="1"/>
  <c r="T57" i="9" s="1"/>
  <c r="D351" i="1"/>
  <c r="AX618" i="1"/>
  <c r="BC618" i="1" s="1"/>
  <c r="V24" i="1"/>
  <c r="AK192" i="1"/>
  <c r="AK201" i="1"/>
  <c r="AK21" i="1"/>
  <c r="AS190" i="1"/>
  <c r="AK10" i="1"/>
  <c r="AL7" i="1"/>
  <c r="AK11" i="1"/>
  <c r="AK27" i="9" s="1"/>
  <c r="Z7" i="1"/>
  <c r="Z8" i="1" s="1"/>
  <c r="V7" i="1"/>
  <c r="U11" i="1"/>
  <c r="U27" i="9" s="1"/>
  <c r="AK152" i="1"/>
  <c r="AZ65" i="1"/>
  <c r="BA62" i="1"/>
  <c r="AZ177" i="1"/>
  <c r="AE175" i="1"/>
  <c r="AE59" i="1"/>
  <c r="AN165" i="1"/>
  <c r="AN167" i="1" s="1"/>
  <c r="AN169" i="1"/>
  <c r="AV418" i="1"/>
  <c r="P418" i="1"/>
  <c r="AF52" i="9"/>
  <c r="AF132" i="9" s="1"/>
  <c r="AF324" i="1"/>
  <c r="AF62" i="9" s="1"/>
  <c r="AK51" i="9"/>
  <c r="AK330" i="1"/>
  <c r="R51" i="9"/>
  <c r="R330" i="1"/>
  <c r="M51" i="9"/>
  <c r="M467" i="1"/>
  <c r="M330" i="1"/>
  <c r="AO24" i="1"/>
  <c r="Q24" i="1"/>
  <c r="AN181" i="1"/>
  <c r="AN16" i="1" s="1"/>
  <c r="AN192" i="1"/>
  <c r="AN21" i="1"/>
  <c r="X192" i="1"/>
  <c r="X21" i="1"/>
  <c r="H192" i="1"/>
  <c r="H201" i="1" s="1"/>
  <c r="H21" i="1"/>
  <c r="AN11" i="1"/>
  <c r="AN27" i="9" s="1"/>
  <c r="AN10" i="1"/>
  <c r="AN8" i="1"/>
  <c r="AN12" i="1"/>
  <c r="T11" i="1"/>
  <c r="T27" i="9" s="1"/>
  <c r="T10" i="1"/>
  <c r="T8" i="1"/>
  <c r="T12" i="1"/>
  <c r="AN152" i="1"/>
  <c r="AS124" i="1"/>
  <c r="AS123" i="1"/>
  <c r="AH104" i="1"/>
  <c r="AH103" i="1"/>
  <c r="AQ84" i="1"/>
  <c r="AG61" i="1"/>
  <c r="AG176" i="1"/>
  <c r="AH56" i="1"/>
  <c r="AH55" i="1"/>
  <c r="AI165" i="1"/>
  <c r="AI172" i="1" s="1"/>
  <c r="AI169" i="1"/>
  <c r="AG156" i="1"/>
  <c r="AL155" i="1"/>
  <c r="Y151" i="1"/>
  <c r="I151" i="1"/>
  <c r="AM181" i="1"/>
  <c r="AM16" i="1" s="1"/>
  <c r="AI201" i="1"/>
  <c r="AA16" i="1"/>
  <c r="AP156" i="1"/>
  <c r="AF154" i="1"/>
  <c r="AF153" i="1"/>
  <c r="AB151" i="1"/>
  <c r="L151" i="1"/>
  <c r="AI202" i="1"/>
  <c r="O202" i="1"/>
  <c r="O203" i="1" s="1"/>
  <c r="AL165" i="1"/>
  <c r="AL170" i="1" s="1"/>
  <c r="AN61" i="1"/>
  <c r="R32" i="1"/>
  <c r="R20" i="9" s="1"/>
  <c r="V10" i="1"/>
  <c r="AQ198" i="1"/>
  <c r="W195" i="1"/>
  <c r="G195" i="1"/>
  <c r="AN156" i="1"/>
  <c r="AN155" i="1"/>
  <c r="AN154" i="1"/>
  <c r="AN153" i="1"/>
  <c r="Y150" i="1"/>
  <c r="Y157" i="1" s="1"/>
  <c r="I150" i="1"/>
  <c r="I157" i="1" s="1"/>
  <c r="N202" i="1"/>
  <c r="AI103" i="1"/>
  <c r="AQ56" i="1"/>
  <c r="AQ199" i="1"/>
  <c r="AH198" i="1"/>
  <c r="F195" i="1"/>
  <c r="AR155" i="1"/>
  <c r="AW154" i="1"/>
  <c r="AC154" i="1"/>
  <c r="AC153" i="1"/>
  <c r="P150" i="1"/>
  <c r="U202" i="1"/>
  <c r="AR83" i="1"/>
  <c r="AE54" i="1"/>
  <c r="Z11" i="1"/>
  <c r="Z27" i="9" s="1"/>
  <c r="U74" i="11"/>
  <c r="U75" i="11" s="1"/>
  <c r="Z74" i="11"/>
  <c r="Z75" i="11" s="1"/>
  <c r="Y50" i="11"/>
  <c r="Y48" i="11"/>
  <c r="Y53" i="11" s="1"/>
  <c r="AI48" i="11"/>
  <c r="AI53" i="11" s="1"/>
  <c r="AN48" i="11"/>
  <c r="AN53" i="11" s="1"/>
  <c r="AY694" i="1"/>
  <c r="AZ688" i="1"/>
  <c r="BD727" i="1"/>
  <c r="AJ727" i="1"/>
  <c r="AL101" i="9"/>
  <c r="AL717" i="1"/>
  <c r="AL707" i="1"/>
  <c r="AJ575" i="1"/>
  <c r="AJ361" i="1" s="1"/>
  <c r="AJ365" i="1" s="1"/>
  <c r="AJ430" i="1"/>
  <c r="P575" i="1"/>
  <c r="P361" i="1" s="1"/>
  <c r="P365" i="1" s="1"/>
  <c r="P430" i="1"/>
  <c r="AN104" i="9"/>
  <c r="AN89" i="9"/>
  <c r="X104" i="9"/>
  <c r="X89" i="9"/>
  <c r="AU575" i="1"/>
  <c r="AU361" i="1" s="1"/>
  <c r="AU365" i="1" s="1"/>
  <c r="AU430" i="1"/>
  <c r="AE725" i="1"/>
  <c r="AA575" i="1"/>
  <c r="AA608" i="1" s="1"/>
  <c r="AA430" i="1"/>
  <c r="K725" i="1"/>
  <c r="G575" i="1"/>
  <c r="G430" i="1"/>
  <c r="AM104" i="9"/>
  <c r="AM89" i="9"/>
  <c r="W104" i="9"/>
  <c r="W89" i="9"/>
  <c r="AI548" i="1"/>
  <c r="AP67" i="9"/>
  <c r="AP447" i="1"/>
  <c r="AP448" i="1" s="1"/>
  <c r="AP449" i="1" s="1"/>
  <c r="AP450" i="1" s="1"/>
  <c r="AP431" i="1"/>
  <c r="V361" i="1"/>
  <c r="V365" i="1" s="1"/>
  <c r="R67" i="9"/>
  <c r="R447" i="1"/>
  <c r="R448" i="1" s="1"/>
  <c r="R449" i="1" s="1"/>
  <c r="R450" i="1" s="1"/>
  <c r="R431" i="1"/>
  <c r="J67" i="9"/>
  <c r="J447" i="1"/>
  <c r="J448" i="1" s="1"/>
  <c r="J449" i="1" s="1"/>
  <c r="J450" i="1" s="1"/>
  <c r="J431" i="1"/>
  <c r="AQ108" i="9"/>
  <c r="AQ394" i="1"/>
  <c r="AQ329" i="1" s="1"/>
  <c r="AQ63" i="9" s="1"/>
  <c r="AQ402" i="1"/>
  <c r="AQ389" i="1"/>
  <c r="AQ235" i="1"/>
  <c r="AV236" i="1" s="1"/>
  <c r="AQ323" i="1"/>
  <c r="AQ61" i="9" s="1"/>
  <c r="W108" i="9"/>
  <c r="W394" i="1"/>
  <c r="W329" i="1" s="1"/>
  <c r="W63" i="9" s="1"/>
  <c r="W402" i="1"/>
  <c r="W389" i="1"/>
  <c r="W235" i="1"/>
  <c r="W323" i="1"/>
  <c r="W61" i="9" s="1"/>
  <c r="C108" i="9"/>
  <c r="C109" i="9" s="1"/>
  <c r="C394" i="1"/>
  <c r="C402" i="1"/>
  <c r="C389" i="1"/>
  <c r="C235" i="1"/>
  <c r="C237" i="1" s="1"/>
  <c r="C323" i="1"/>
  <c r="C61" i="9" s="1"/>
  <c r="BA616" i="1"/>
  <c r="X618" i="1"/>
  <c r="X623" i="1" s="1"/>
  <c r="AH108" i="9"/>
  <c r="AH323" i="1"/>
  <c r="AH61" i="9" s="1"/>
  <c r="AH394" i="1"/>
  <c r="AH329" i="1" s="1"/>
  <c r="AH63" i="9" s="1"/>
  <c r="AH402" i="1"/>
  <c r="AH389" i="1"/>
  <c r="AH235" i="1"/>
  <c r="N108" i="9"/>
  <c r="N323" i="1"/>
  <c r="N61" i="9" s="1"/>
  <c r="N394" i="1"/>
  <c r="N329" i="1" s="1"/>
  <c r="N63" i="9" s="1"/>
  <c r="N402" i="1"/>
  <c r="N389" i="1"/>
  <c r="N235" i="1"/>
  <c r="AZ616" i="1"/>
  <c r="AQ619" i="1"/>
  <c r="AQ624" i="1" s="1"/>
  <c r="AF116" i="9"/>
  <c r="W619" i="1"/>
  <c r="W624" i="1" s="1"/>
  <c r="L116" i="9"/>
  <c r="AK108" i="9"/>
  <c r="AK235" i="1"/>
  <c r="AK323" i="1"/>
  <c r="AK61" i="9" s="1"/>
  <c r="AK394" i="1"/>
  <c r="AK329" i="1" s="1"/>
  <c r="AK63" i="9" s="1"/>
  <c r="AK402" i="1"/>
  <c r="AK389" i="1"/>
  <c r="Q108" i="9"/>
  <c r="Q235" i="1"/>
  <c r="Q323" i="1"/>
  <c r="Q61" i="9" s="1"/>
  <c r="Q394" i="1"/>
  <c r="Q329" i="1" s="1"/>
  <c r="Q63" i="9" s="1"/>
  <c r="Q402" i="1"/>
  <c r="Q389" i="1"/>
  <c r="AV39" i="9"/>
  <c r="AB39" i="9"/>
  <c r="AP618" i="1"/>
  <c r="AP623" i="1" s="1"/>
  <c r="AQ116" i="9"/>
  <c r="V618" i="1"/>
  <c r="V623" i="1" s="1"/>
  <c r="W116" i="9"/>
  <c r="AD430" i="1"/>
  <c r="AD575" i="1"/>
  <c r="AD361" i="1" s="1"/>
  <c r="AD365" i="1" s="1"/>
  <c r="AT43" i="9"/>
  <c r="AT47" i="9" s="1"/>
  <c r="Z43" i="9"/>
  <c r="F43" i="9"/>
  <c r="F47" i="9" s="1"/>
  <c r="AW623" i="1"/>
  <c r="BB618" i="1"/>
  <c r="AO622" i="1"/>
  <c r="AK621" i="1"/>
  <c r="AG624" i="1"/>
  <c r="AC623" i="1"/>
  <c r="AH116" i="9"/>
  <c r="U622" i="1"/>
  <c r="Q621" i="1"/>
  <c r="E622" i="1"/>
  <c r="AJ237" i="1"/>
  <c r="P410" i="1"/>
  <c r="Z51" i="9"/>
  <c r="Z330" i="1"/>
  <c r="AI621" i="1"/>
  <c r="AR410" i="1"/>
  <c r="X237" i="1"/>
  <c r="T322" i="1"/>
  <c r="AR51" i="9"/>
  <c r="AR330" i="1"/>
  <c r="E39" i="9"/>
  <c r="AI116" i="9"/>
  <c r="O116" i="9"/>
  <c r="AM24" i="1"/>
  <c r="AQ10" i="1"/>
  <c r="AQ7" i="1"/>
  <c r="AP10" i="1"/>
  <c r="AP11" i="1"/>
  <c r="AP27" i="9" s="1"/>
  <c r="AC171" i="1"/>
  <c r="AA176" i="1"/>
  <c r="AE60" i="1"/>
  <c r="AE176" i="1" s="1"/>
  <c r="AW165" i="1"/>
  <c r="AW172" i="1" s="1"/>
  <c r="AV237" i="1"/>
  <c r="AB410" i="1"/>
  <c r="AI60" i="9"/>
  <c r="AU51" i="9"/>
  <c r="AU330" i="1"/>
  <c r="AB51" i="9"/>
  <c r="AB467" i="1"/>
  <c r="AB330" i="1"/>
  <c r="AX619" i="1"/>
  <c r="BC619" i="1" s="1"/>
  <c r="Y108" i="9"/>
  <c r="Y235" i="1"/>
  <c r="Y323" i="1"/>
  <c r="Y61" i="9" s="1"/>
  <c r="Y394" i="1"/>
  <c r="Y329" i="1" s="1"/>
  <c r="Y63" i="9" s="1"/>
  <c r="Y389" i="1"/>
  <c r="AX24" i="1"/>
  <c r="J202" i="1"/>
  <c r="J24" i="1"/>
  <c r="AG192" i="1"/>
  <c r="AG201" i="1"/>
  <c r="AG181" i="1"/>
  <c r="AG16" i="1" s="1"/>
  <c r="AG21" i="1"/>
  <c r="AG10" i="1"/>
  <c r="AH7" i="1"/>
  <c r="AG11" i="1"/>
  <c r="AG27" i="9" s="1"/>
  <c r="R10" i="1"/>
  <c r="Q10" i="1"/>
  <c r="Q8" i="1"/>
  <c r="R7" i="1"/>
  <c r="Q12" i="1"/>
  <c r="Q11" i="1"/>
  <c r="Q27" i="9" s="1"/>
  <c r="AG152" i="1"/>
  <c r="AL61" i="1"/>
  <c r="AL176" i="1"/>
  <c r="AX52" i="1"/>
  <c r="AX23" i="9" s="1"/>
  <c r="AX144" i="1"/>
  <c r="AX54" i="1"/>
  <c r="AB165" i="1"/>
  <c r="AB167" i="1" s="1"/>
  <c r="AR418" i="1"/>
  <c r="AB418" i="1"/>
  <c r="L418" i="1"/>
  <c r="AF410" i="1"/>
  <c r="L237" i="1"/>
  <c r="L238" i="1" s="1"/>
  <c r="L236" i="1"/>
  <c r="T317" i="1"/>
  <c r="AP51" i="9"/>
  <c r="AP467" i="1"/>
  <c r="AP330" i="1"/>
  <c r="W51" i="9"/>
  <c r="W330" i="1"/>
  <c r="O39" i="9"/>
  <c r="AK202" i="1"/>
  <c r="AK24" i="1"/>
  <c r="I24" i="1"/>
  <c r="AJ192" i="1"/>
  <c r="AJ201" i="1" s="1"/>
  <c r="AJ21" i="1"/>
  <c r="T201" i="1"/>
  <c r="T192" i="1"/>
  <c r="T21" i="1"/>
  <c r="AN196" i="1"/>
  <c r="AF11" i="1"/>
  <c r="AF27" i="9" s="1"/>
  <c r="AF10" i="1"/>
  <c r="AG7" i="1"/>
  <c r="AG8" i="1" s="1"/>
  <c r="P11" i="1"/>
  <c r="P27" i="9" s="1"/>
  <c r="P8" i="1"/>
  <c r="U7" i="1"/>
  <c r="U8" i="1" s="1"/>
  <c r="Q7" i="1"/>
  <c r="AF152" i="1"/>
  <c r="AG124" i="1"/>
  <c r="AA163" i="1"/>
  <c r="AE97" i="1"/>
  <c r="AM84" i="1"/>
  <c r="AM83" i="1"/>
  <c r="AA161" i="1"/>
  <c r="AE49" i="1"/>
  <c r="AA46" i="1"/>
  <c r="AV156" i="1"/>
  <c r="AB156" i="1"/>
  <c r="AG155" i="1"/>
  <c r="AL154" i="1"/>
  <c r="AL153" i="1"/>
  <c r="AK151" i="1"/>
  <c r="U151" i="1"/>
  <c r="AM56" i="1"/>
  <c r="D3" i="11"/>
  <c r="D4" i="11"/>
  <c r="AQ181" i="1"/>
  <c r="AQ16" i="1" s="1"/>
  <c r="N201" i="1"/>
  <c r="N203" i="1" s="1"/>
  <c r="F201" i="1"/>
  <c r="F203" i="1" s="1"/>
  <c r="AK156" i="1"/>
  <c r="AP155" i="1"/>
  <c r="AN151" i="1"/>
  <c r="X151" i="1"/>
  <c r="H151" i="1"/>
  <c r="AE202" i="1"/>
  <c r="K202" i="1"/>
  <c r="AH123" i="1"/>
  <c r="AT36" i="1"/>
  <c r="AT34" i="1" s="1"/>
  <c r="N30" i="1"/>
  <c r="AI11" i="1"/>
  <c r="AI27" i="9" s="1"/>
  <c r="D784" i="1"/>
  <c r="D782" i="1" s="1"/>
  <c r="D484" i="1" s="1"/>
  <c r="D486" i="1" s="1"/>
  <c r="D779" i="1"/>
  <c r="D772" i="1"/>
  <c r="D786" i="1"/>
  <c r="D777" i="1"/>
  <c r="D775" i="1" s="1"/>
  <c r="D483" i="1" s="1"/>
  <c r="D770" i="1"/>
  <c r="D768" i="1" s="1"/>
  <c r="D482" i="1" s="1"/>
  <c r="AP201" i="1"/>
  <c r="AP203" i="1" s="1"/>
  <c r="AD181" i="1"/>
  <c r="AD16" i="1" s="1"/>
  <c r="AI195" i="1"/>
  <c r="S195" i="1"/>
  <c r="AD153" i="1"/>
  <c r="U150" i="1"/>
  <c r="U157" i="1" s="1"/>
  <c r="AH202" i="1"/>
  <c r="F202" i="1"/>
  <c r="AI104" i="1"/>
  <c r="AE77" i="1"/>
  <c r="AE162" i="1" s="1"/>
  <c r="R11" i="1"/>
  <c r="R27" i="9" s="1"/>
  <c r="J10" i="1"/>
  <c r="AU198" i="1"/>
  <c r="AH195" i="1"/>
  <c r="R195" i="1"/>
  <c r="AH156" i="1"/>
  <c r="AR154" i="1"/>
  <c r="AW153" i="1"/>
  <c r="AL151" i="1"/>
  <c r="L150" i="1"/>
  <c r="L157" i="1" s="1"/>
  <c r="M202" i="1"/>
  <c r="AL124" i="1"/>
  <c r="AE102" i="1"/>
  <c r="AI196" i="1"/>
  <c r="W32" i="1"/>
  <c r="W20" i="9" s="1"/>
  <c r="F2" i="9"/>
  <c r="F5" i="11"/>
  <c r="K5" i="1"/>
  <c r="G5" i="1"/>
  <c r="AI30" i="1"/>
  <c r="AU31" i="1"/>
  <c r="AU21" i="9" s="1"/>
  <c r="E113" i="9"/>
  <c r="C113" i="9"/>
  <c r="AH47" i="9"/>
  <c r="Z47" i="9"/>
  <c r="L75" i="11"/>
  <c r="V67" i="11"/>
  <c r="AO48" i="11"/>
  <c r="AO53" i="11" s="1"/>
  <c r="J48" i="11"/>
  <c r="J53" i="11" s="1"/>
  <c r="BB677" i="1"/>
  <c r="BD68" i="9"/>
  <c r="BD645" i="1"/>
  <c r="AN673" i="1"/>
  <c r="AN674" i="1" s="1"/>
  <c r="AS717" i="1" s="1"/>
  <c r="AN637" i="1"/>
  <c r="AN636" i="1" s="1"/>
  <c r="AN244" i="1"/>
  <c r="AN245" i="1"/>
  <c r="AN247" i="1" s="1"/>
  <c r="Z102" i="9"/>
  <c r="Z112" i="9" s="1"/>
  <c r="Z113" i="9" s="1"/>
  <c r="AH101" i="9"/>
  <c r="AH717" i="1"/>
  <c r="AH707" i="1"/>
  <c r="AX633" i="1"/>
  <c r="AW636" i="1"/>
  <c r="AG717" i="1"/>
  <c r="BD719" i="1"/>
  <c r="AJ725" i="1"/>
  <c r="AF575" i="1"/>
  <c r="AF430" i="1"/>
  <c r="P725" i="1"/>
  <c r="L575" i="1"/>
  <c r="L430" i="1"/>
  <c r="AD548" i="1"/>
  <c r="AJ104" i="9"/>
  <c r="AJ89" i="9"/>
  <c r="AJ469" i="1"/>
  <c r="AJ468" i="1"/>
  <c r="T104" i="9"/>
  <c r="T89" i="9"/>
  <c r="D104" i="9"/>
  <c r="D89" i="9"/>
  <c r="D469" i="1"/>
  <c r="D468" i="1"/>
  <c r="AQ575" i="1"/>
  <c r="AQ361" i="1" s="1"/>
  <c r="AQ365" i="1" s="1"/>
  <c r="AQ430" i="1"/>
  <c r="W575" i="1"/>
  <c r="W361" i="1" s="1"/>
  <c r="W365" i="1" s="1"/>
  <c r="W430" i="1"/>
  <c r="C575" i="1"/>
  <c r="C361" i="1" s="1"/>
  <c r="C365" i="1" s="1"/>
  <c r="C430" i="1"/>
  <c r="AI104" i="9"/>
  <c r="AI89" i="9"/>
  <c r="S104" i="9"/>
  <c r="S89" i="9"/>
  <c r="C104" i="9"/>
  <c r="C105" i="9" s="1"/>
  <c r="C106" i="9" s="1"/>
  <c r="C89" i="9"/>
  <c r="C469" i="1"/>
  <c r="C468" i="1"/>
  <c r="AT725" i="1"/>
  <c r="V67" i="9"/>
  <c r="V447" i="1"/>
  <c r="V448" i="1" s="1"/>
  <c r="V449" i="1" s="1"/>
  <c r="V450" i="1" s="1"/>
  <c r="V431" i="1"/>
  <c r="AW464" i="1"/>
  <c r="AW467" i="1" s="1"/>
  <c r="AK464" i="1"/>
  <c r="AC464" i="1"/>
  <c r="Q464" i="1"/>
  <c r="I464" i="1"/>
  <c r="AM108" i="9"/>
  <c r="AM394" i="1"/>
  <c r="AM329" i="1" s="1"/>
  <c r="AM63" i="9" s="1"/>
  <c r="AM402" i="1"/>
  <c r="AM389" i="1"/>
  <c r="AM235" i="1"/>
  <c r="AM323" i="1"/>
  <c r="AM61" i="9" s="1"/>
  <c r="S108" i="9"/>
  <c r="S394" i="1"/>
  <c r="S329" i="1" s="1"/>
  <c r="S63" i="9" s="1"/>
  <c r="S402" i="1"/>
  <c r="S389" i="1"/>
  <c r="S235" i="1"/>
  <c r="S323" i="1"/>
  <c r="S61" i="9" s="1"/>
  <c r="BA617" i="1"/>
  <c r="AN34" i="9"/>
  <c r="AS116" i="9" s="1"/>
  <c r="AN618" i="1"/>
  <c r="AN623" i="1" s="1"/>
  <c r="AN617" i="1"/>
  <c r="AN622" i="1" s="1"/>
  <c r="AN616" i="1"/>
  <c r="AN621" i="1" s="1"/>
  <c r="AN619" i="1"/>
  <c r="AN624" i="1" s="1"/>
  <c r="AN327" i="1"/>
  <c r="AN383" i="1"/>
  <c r="AN388" i="1" s="1"/>
  <c r="AN328" i="1"/>
  <c r="X619" i="1"/>
  <c r="X624" i="1" s="1"/>
  <c r="Z67" i="9"/>
  <c r="Z447" i="1"/>
  <c r="Z448" i="1" s="1"/>
  <c r="Z449" i="1" s="1"/>
  <c r="Z450" i="1" s="1"/>
  <c r="Z431" i="1"/>
  <c r="AR464" i="1"/>
  <c r="AF464" i="1"/>
  <c r="X464" i="1"/>
  <c r="L464" i="1"/>
  <c r="D464" i="1"/>
  <c r="D465" i="1" s="1"/>
  <c r="D461" i="1"/>
  <c r="AT108" i="9"/>
  <c r="AT109" i="9" s="1"/>
  <c r="AT323" i="1"/>
  <c r="AT61" i="9" s="1"/>
  <c r="AT394" i="1"/>
  <c r="AT329" i="1" s="1"/>
  <c r="AT63" i="9" s="1"/>
  <c r="AT402" i="1"/>
  <c r="AT417" i="1" s="1"/>
  <c r="AT389" i="1"/>
  <c r="AT235" i="1"/>
  <c r="Z108" i="9"/>
  <c r="Z109" i="9" s="1"/>
  <c r="Z323" i="1"/>
  <c r="Z61" i="9" s="1"/>
  <c r="Z394" i="1"/>
  <c r="Z329" i="1" s="1"/>
  <c r="Z63" i="9" s="1"/>
  <c r="Z402" i="1"/>
  <c r="Z417" i="1" s="1"/>
  <c r="Z389" i="1"/>
  <c r="Z235" i="1"/>
  <c r="F108" i="9"/>
  <c r="F109" i="9" s="1"/>
  <c r="F323" i="1"/>
  <c r="F61" i="9" s="1"/>
  <c r="F394" i="1"/>
  <c r="F402" i="1"/>
  <c r="F417" i="1" s="1"/>
  <c r="F389" i="1"/>
  <c r="F235" i="1"/>
  <c r="AU622" i="1"/>
  <c r="AZ617" i="1"/>
  <c r="AQ616" i="1"/>
  <c r="AQ621" i="1" s="1"/>
  <c r="AV116" i="9"/>
  <c r="AA622" i="1"/>
  <c r="W616" i="1"/>
  <c r="W621" i="1" s="1"/>
  <c r="AB116" i="9"/>
  <c r="D116" i="9"/>
  <c r="Y351" i="1"/>
  <c r="AH67" i="9"/>
  <c r="AH447" i="1"/>
  <c r="AH448" i="1" s="1"/>
  <c r="AH449" i="1" s="1"/>
  <c r="AH450" i="1" s="1"/>
  <c r="AH431" i="1"/>
  <c r="AU464" i="1"/>
  <c r="AM464" i="1"/>
  <c r="AE464" i="1"/>
  <c r="AE465" i="1" s="1"/>
  <c r="AE461" i="1"/>
  <c r="W464" i="1"/>
  <c r="K464" i="1"/>
  <c r="K465" i="1" s="1"/>
  <c r="K461" i="1"/>
  <c r="AP60" i="9"/>
  <c r="AG108" i="9"/>
  <c r="AG235" i="1"/>
  <c r="AG323" i="1"/>
  <c r="AG61" i="9" s="1"/>
  <c r="AG394" i="1"/>
  <c r="AG329" i="1" s="1"/>
  <c r="AG63" i="9" s="1"/>
  <c r="AG402" i="1"/>
  <c r="AG389" i="1"/>
  <c r="M108" i="9"/>
  <c r="M235" i="1"/>
  <c r="M323" i="1"/>
  <c r="M61" i="9" s="1"/>
  <c r="M394" i="1"/>
  <c r="M329" i="1" s="1"/>
  <c r="M63" i="9" s="1"/>
  <c r="M402" i="1"/>
  <c r="M389" i="1"/>
  <c r="AR39" i="9"/>
  <c r="X39" i="9"/>
  <c r="D35" i="9"/>
  <c r="D39" i="9" s="1"/>
  <c r="D313" i="1"/>
  <c r="D57" i="9" s="1"/>
  <c r="AP619" i="1"/>
  <c r="AP624" i="1" s="1"/>
  <c r="AM116" i="9"/>
  <c r="S116" i="9"/>
  <c r="AI214" i="1"/>
  <c r="AI343" i="1"/>
  <c r="AI347" i="1" s="1"/>
  <c r="AI349" i="1" s="1"/>
  <c r="AI314" i="1"/>
  <c r="AN445" i="1"/>
  <c r="AP43" i="9"/>
  <c r="AP47" i="9" s="1"/>
  <c r="V43" i="9"/>
  <c r="V47" i="9" s="1"/>
  <c r="AT464" i="1"/>
  <c r="AT465" i="1" s="1"/>
  <c r="AT461" i="1"/>
  <c r="AL464" i="1"/>
  <c r="Z464" i="1"/>
  <c r="Z465" i="1" s="1"/>
  <c r="Z461" i="1"/>
  <c r="R464" i="1"/>
  <c r="R467" i="1" s="1"/>
  <c r="F464" i="1"/>
  <c r="F465" i="1" s="1"/>
  <c r="F461" i="1"/>
  <c r="J36" i="9"/>
  <c r="J39" i="9" s="1"/>
  <c r="J321" i="1"/>
  <c r="J58" i="9" s="1"/>
  <c r="AG60" i="9"/>
  <c r="H108" i="9"/>
  <c r="H402" i="1"/>
  <c r="H389" i="1"/>
  <c r="H235" i="1"/>
  <c r="H237" i="1" s="1"/>
  <c r="H323" i="1"/>
  <c r="H61" i="9" s="1"/>
  <c r="H394" i="1"/>
  <c r="AE39" i="9"/>
  <c r="K39" i="9"/>
  <c r="BB619" i="1"/>
  <c r="AW624" i="1"/>
  <c r="AO623" i="1"/>
  <c r="AT116" i="9"/>
  <c r="AK622" i="1"/>
  <c r="AG621" i="1"/>
  <c r="AC624" i="1"/>
  <c r="U623" i="1"/>
  <c r="Z116" i="9"/>
  <c r="Q622" i="1"/>
  <c r="E623" i="1"/>
  <c r="F116" i="9"/>
  <c r="AD314" i="1"/>
  <c r="AD214" i="1"/>
  <c r="AD343" i="1"/>
  <c r="AD347" i="1" s="1"/>
  <c r="AD349" i="1" s="1"/>
  <c r="AJ52" i="9"/>
  <c r="AJ132" i="9" s="1"/>
  <c r="AJ324" i="1"/>
  <c r="AJ62" i="9" s="1"/>
  <c r="AE51" i="9"/>
  <c r="AE467" i="1"/>
  <c r="AE330" i="1"/>
  <c r="AN313" i="1"/>
  <c r="AN57" i="9" s="1"/>
  <c r="X52" i="9"/>
  <c r="X132" i="9" s="1"/>
  <c r="X324" i="1"/>
  <c r="X62" i="9" s="1"/>
  <c r="AV51" i="9"/>
  <c r="AV467" i="1"/>
  <c r="AV330" i="1"/>
  <c r="AR711" i="1"/>
  <c r="AC51" i="9"/>
  <c r="AC467" i="1"/>
  <c r="AC330" i="1"/>
  <c r="P711" i="1"/>
  <c r="AD623" i="1"/>
  <c r="AA24" i="1"/>
  <c r="AL10" i="1"/>
  <c r="AL8" i="1"/>
  <c r="AM7" i="1"/>
  <c r="AL12" i="1"/>
  <c r="AL11" i="1"/>
  <c r="AL27" i="9" s="1"/>
  <c r="AH152" i="1"/>
  <c r="AV172" i="1"/>
  <c r="AW171" i="1"/>
  <c r="AS165" i="1"/>
  <c r="AS172" i="1" s="1"/>
  <c r="AV52" i="9"/>
  <c r="AV132" i="9" s="1"/>
  <c r="AV324" i="1"/>
  <c r="AV62" i="9" s="1"/>
  <c r="AG51" i="9"/>
  <c r="AG467" i="1"/>
  <c r="AG330" i="1"/>
  <c r="AB711" i="1"/>
  <c r="D215" i="1"/>
  <c r="D216" i="1"/>
  <c r="D218" i="1" s="1"/>
  <c r="AX616" i="1"/>
  <c r="BC616" i="1" s="1"/>
  <c r="AL202" i="1"/>
  <c r="AL24" i="1"/>
  <c r="AW192" i="1"/>
  <c r="AW201" i="1"/>
  <c r="AW181" i="1"/>
  <c r="AW16" i="1" s="1"/>
  <c r="AW21" i="1"/>
  <c r="AC192" i="1"/>
  <c r="AC201" i="1"/>
  <c r="AC181" i="1"/>
  <c r="AC16" i="1" s="1"/>
  <c r="AC21" i="1"/>
  <c r="AX7" i="1"/>
  <c r="AW11" i="1"/>
  <c r="AW27" i="9" s="1"/>
  <c r="AW10" i="1"/>
  <c r="AD7" i="1"/>
  <c r="AD8" i="1" s="1"/>
  <c r="AC11" i="1"/>
  <c r="AC27" i="9" s="1"/>
  <c r="AC10" i="1"/>
  <c r="M10" i="1"/>
  <c r="M8" i="1"/>
  <c r="N7" i="1"/>
  <c r="M12" i="1"/>
  <c r="M11" i="1"/>
  <c r="M27" i="9" s="1"/>
  <c r="AC152" i="1"/>
  <c r="AN171" i="1"/>
  <c r="AH61" i="1"/>
  <c r="AH176" i="1"/>
  <c r="AV165" i="1"/>
  <c r="AV171" i="1" s="1"/>
  <c r="AN168" i="1"/>
  <c r="X418" i="1"/>
  <c r="L52" i="9"/>
  <c r="L132" i="9" s="1"/>
  <c r="L324" i="1"/>
  <c r="L62" i="9" s="1"/>
  <c r="AT359" i="1"/>
  <c r="AA51" i="9"/>
  <c r="AA467" i="1"/>
  <c r="AA330" i="1"/>
  <c r="AC202" i="1"/>
  <c r="AC24" i="1"/>
  <c r="AV201" i="1"/>
  <c r="AV181" i="1"/>
  <c r="AV16" i="1" s="1"/>
  <c r="AV192" i="1"/>
  <c r="AV21" i="1"/>
  <c r="AF201" i="1"/>
  <c r="AF192" i="1"/>
  <c r="AF21" i="1"/>
  <c r="P201" i="1"/>
  <c r="P192" i="1"/>
  <c r="P21" i="1"/>
  <c r="AJ196" i="1"/>
  <c r="AV11" i="1"/>
  <c r="AV27" i="9" s="1"/>
  <c r="AV10" i="1"/>
  <c r="AV8" i="1"/>
  <c r="AW7" i="1"/>
  <c r="AW12" i="1" s="1"/>
  <c r="AV12" i="1"/>
  <c r="AB11" i="1"/>
  <c r="AB27" i="9" s="1"/>
  <c r="AB10" i="1"/>
  <c r="AB8" i="1"/>
  <c r="AC7" i="1"/>
  <c r="AC8" i="1" s="1"/>
  <c r="AB12" i="1"/>
  <c r="L11" i="1"/>
  <c r="L27" i="9" s="1"/>
  <c r="L10" i="1"/>
  <c r="L8" i="1"/>
  <c r="M7" i="1"/>
  <c r="L12" i="1"/>
  <c r="AB152" i="1"/>
  <c r="AZ180" i="1"/>
  <c r="AZ129" i="1"/>
  <c r="BA126" i="1"/>
  <c r="AD172" i="1"/>
  <c r="BA109" i="1"/>
  <c r="BA179" i="1"/>
  <c r="BB106" i="1"/>
  <c r="AQ171" i="1"/>
  <c r="AI84" i="1"/>
  <c r="AI83" i="1"/>
  <c r="AN170" i="1"/>
  <c r="AY177" i="1"/>
  <c r="AY65" i="1"/>
  <c r="AQ165" i="1"/>
  <c r="AQ170" i="1" s="1"/>
  <c r="K203" i="1"/>
  <c r="AV155" i="1"/>
  <c r="AV157" i="1" s="1"/>
  <c r="AB155" i="1"/>
  <c r="AG154" i="1"/>
  <c r="AG153" i="1"/>
  <c r="AG157" i="1" s="1"/>
  <c r="AG151" i="1"/>
  <c r="Q151" i="1"/>
  <c r="AQ203" i="1"/>
  <c r="AE203" i="1"/>
  <c r="V192" i="1"/>
  <c r="AF156" i="1"/>
  <c r="AK155" i="1"/>
  <c r="AP154" i="1"/>
  <c r="AP153" i="1"/>
  <c r="T151" i="1"/>
  <c r="W202" i="1"/>
  <c r="W203" i="1" s="1"/>
  <c r="G202" i="1"/>
  <c r="G203" i="1" s="1"/>
  <c r="AH124" i="1"/>
  <c r="AN83" i="1"/>
  <c r="AD165" i="1"/>
  <c r="AP36" i="1"/>
  <c r="AP34" i="1" s="1"/>
  <c r="AU11" i="1"/>
  <c r="AU27" i="9" s="1"/>
  <c r="AI198" i="1"/>
  <c r="AH181" i="1"/>
  <c r="AH16" i="1" s="1"/>
  <c r="AE195" i="1"/>
  <c r="O195" i="1"/>
  <c r="Q192" i="1"/>
  <c r="Q202" i="1" s="1"/>
  <c r="I192" i="1"/>
  <c r="AD156" i="1"/>
  <c r="AD155" i="1"/>
  <c r="AD154" i="1"/>
  <c r="Q150" i="1"/>
  <c r="Z202" i="1"/>
  <c r="AE117" i="1"/>
  <c r="AE164" i="1" s="1"/>
  <c r="AI55" i="1"/>
  <c r="AI199" i="1"/>
  <c r="AP198" i="1"/>
  <c r="AT203" i="1"/>
  <c r="N195" i="1"/>
  <c r="AW156" i="1"/>
  <c r="AC156" i="1"/>
  <c r="AH155" i="1"/>
  <c r="AR153" i="1"/>
  <c r="AH151" i="1"/>
  <c r="X150" i="1"/>
  <c r="X157" i="1" s="1"/>
  <c r="H150" i="1"/>
  <c r="H157" i="1" s="1"/>
  <c r="AX118" i="1"/>
  <c r="AE196" i="1"/>
  <c r="AJ59" i="1"/>
  <c r="F1" i="9"/>
  <c r="F3" i="1"/>
  <c r="F766" i="1" s="1"/>
  <c r="G4" i="1"/>
  <c r="S30" i="1"/>
  <c r="E4" i="11"/>
  <c r="E3" i="11"/>
  <c r="AQ30" i="1"/>
  <c r="AU32" i="1"/>
  <c r="AU20" i="9" s="1"/>
  <c r="AE74" i="11"/>
  <c r="AE75" i="11" s="1"/>
  <c r="AA75" i="11"/>
  <c r="AO74" i="11"/>
  <c r="AO75" i="11" s="1"/>
  <c r="AB75" i="11"/>
  <c r="AL67" i="11"/>
  <c r="R67" i="11"/>
  <c r="O48" i="11"/>
  <c r="O53" i="11" s="1"/>
  <c r="T48" i="11"/>
  <c r="T53" i="11" s="1"/>
  <c r="AW101" i="9"/>
  <c r="AW707" i="1"/>
  <c r="AY719" i="1"/>
  <c r="AY588" i="1"/>
  <c r="AY433" i="1"/>
  <c r="AV101" i="9"/>
  <c r="AV102" i="9" s="1"/>
  <c r="AV707" i="1"/>
  <c r="AV717" i="1"/>
  <c r="AO727" i="1"/>
  <c r="U727" i="1"/>
  <c r="AQ101" i="9"/>
  <c r="AQ717" i="1"/>
  <c r="AQ707" i="1"/>
  <c r="K102" i="9"/>
  <c r="K112" i="9" s="1"/>
  <c r="AY727" i="1"/>
  <c r="AE727" i="1"/>
  <c r="AV575" i="1"/>
  <c r="AV361" i="1" s="1"/>
  <c r="AV365" i="1" s="1"/>
  <c r="AV430" i="1"/>
  <c r="AB575" i="1"/>
  <c r="AB361" i="1" s="1"/>
  <c r="AB365" i="1" s="1"/>
  <c r="AB430" i="1"/>
  <c r="H575" i="1"/>
  <c r="H430" i="1"/>
  <c r="AV104" i="9"/>
  <c r="AV89" i="9"/>
  <c r="AF104" i="9"/>
  <c r="AF89" i="9"/>
  <c r="P104" i="9"/>
  <c r="P89" i="9"/>
  <c r="P469" i="1"/>
  <c r="P468" i="1"/>
  <c r="AX8" i="9"/>
  <c r="AX713" i="1"/>
  <c r="AX454" i="1"/>
  <c r="AX683" i="1" s="1"/>
  <c r="AY683" i="1" s="1"/>
  <c r="N715" i="1"/>
  <c r="AM575" i="1"/>
  <c r="AM361" i="1" s="1"/>
  <c r="AM365" i="1" s="1"/>
  <c r="AM430" i="1"/>
  <c r="S575" i="1"/>
  <c r="S361" i="1" s="1"/>
  <c r="S365" i="1" s="1"/>
  <c r="S430" i="1"/>
  <c r="AS575" i="1"/>
  <c r="AS430" i="1"/>
  <c r="AU104" i="9"/>
  <c r="AU105" i="9" s="1"/>
  <c r="AU106" i="9" s="1"/>
  <c r="AU89" i="9"/>
  <c r="AE104" i="9"/>
  <c r="AE105" i="9" s="1"/>
  <c r="AE106" i="9" s="1"/>
  <c r="AE89" i="9"/>
  <c r="AE469" i="1"/>
  <c r="AE468" i="1"/>
  <c r="O104" i="9"/>
  <c r="O89" i="9"/>
  <c r="AY629" i="1"/>
  <c r="Q608" i="1"/>
  <c r="AN575" i="1"/>
  <c r="AN361" i="1" s="1"/>
  <c r="AN365" i="1" s="1"/>
  <c r="AN430" i="1"/>
  <c r="P727" i="1"/>
  <c r="AK361" i="1"/>
  <c r="AK365" i="1" s="1"/>
  <c r="Z725" i="1"/>
  <c r="N67" i="9"/>
  <c r="N447" i="1"/>
  <c r="N448" i="1" s="1"/>
  <c r="N449" i="1" s="1"/>
  <c r="N450" i="1" s="1"/>
  <c r="N431" i="1"/>
  <c r="F67" i="9"/>
  <c r="F447" i="1"/>
  <c r="F448" i="1" s="1"/>
  <c r="F449" i="1" s="1"/>
  <c r="F450" i="1" s="1"/>
  <c r="F431" i="1"/>
  <c r="AE108" i="9"/>
  <c r="AE109" i="9" s="1"/>
  <c r="AE113" i="9" s="1"/>
  <c r="AE394" i="1"/>
  <c r="AE329" i="1" s="1"/>
  <c r="AE63" i="9" s="1"/>
  <c r="AE402" i="1"/>
  <c r="AE389" i="1"/>
  <c r="AE235" i="1"/>
  <c r="AJ236" i="1" s="1"/>
  <c r="AE323" i="1"/>
  <c r="AE61" i="9" s="1"/>
  <c r="K108" i="9"/>
  <c r="K109" i="9" s="1"/>
  <c r="K394" i="1"/>
  <c r="K402" i="1"/>
  <c r="K389" i="1"/>
  <c r="K235" i="1"/>
  <c r="K323" i="1"/>
  <c r="K61" i="9" s="1"/>
  <c r="AV623" i="1"/>
  <c r="BA618" i="1"/>
  <c r="AB622" i="1"/>
  <c r="T34" i="9"/>
  <c r="Y116" i="9" s="1"/>
  <c r="T618" i="1"/>
  <c r="T623" i="1" s="1"/>
  <c r="T617" i="1"/>
  <c r="T622" i="1" s="1"/>
  <c r="T616" i="1"/>
  <c r="T621" i="1" s="1"/>
  <c r="T619" i="1"/>
  <c r="T624" i="1" s="1"/>
  <c r="T327" i="1"/>
  <c r="T383" i="1"/>
  <c r="T388" i="1" s="1"/>
  <c r="T328" i="1"/>
  <c r="Q361" i="1"/>
  <c r="Q365" i="1" s="1"/>
  <c r="AP108" i="9"/>
  <c r="AP323" i="1"/>
  <c r="AP61" i="9" s="1"/>
  <c r="AP394" i="1"/>
  <c r="AP329" i="1" s="1"/>
  <c r="AP63" i="9" s="1"/>
  <c r="AP402" i="1"/>
  <c r="AP389" i="1"/>
  <c r="AP235" i="1"/>
  <c r="V108" i="9"/>
  <c r="V323" i="1"/>
  <c r="V61" i="9" s="1"/>
  <c r="V394" i="1"/>
  <c r="V329" i="1" s="1"/>
  <c r="V63" i="9" s="1"/>
  <c r="V402" i="1"/>
  <c r="V417" i="1" s="1"/>
  <c r="V389" i="1"/>
  <c r="V235" i="1"/>
  <c r="AU623" i="1"/>
  <c r="AZ618" i="1"/>
  <c r="AQ617" i="1"/>
  <c r="AQ622" i="1" s="1"/>
  <c r="AR116" i="9"/>
  <c r="AA623" i="1"/>
  <c r="W617" i="1"/>
  <c r="W622" i="1" s="1"/>
  <c r="X116" i="9"/>
  <c r="AN343" i="1"/>
  <c r="AN347" i="1" s="1"/>
  <c r="AN349" i="1" s="1"/>
  <c r="AN314" i="1"/>
  <c r="AN214" i="1"/>
  <c r="BC222" i="1"/>
  <c r="E218" i="1"/>
  <c r="T67" i="9"/>
  <c r="T447" i="1"/>
  <c r="T448" i="1" s="1"/>
  <c r="T449" i="1" s="1"/>
  <c r="T450" i="1" s="1"/>
  <c r="T431" i="1"/>
  <c r="AI36" i="9"/>
  <c r="AI321" i="1"/>
  <c r="AI58" i="9" s="1"/>
  <c r="V60" i="9"/>
  <c r="AW108" i="9"/>
  <c r="AW235" i="1"/>
  <c r="AW323" i="1"/>
  <c r="AW61" i="9" s="1"/>
  <c r="AW394" i="1"/>
  <c r="AW329" i="1" s="1"/>
  <c r="AW63" i="9" s="1"/>
  <c r="AW402" i="1"/>
  <c r="AW389" i="1"/>
  <c r="AC108" i="9"/>
  <c r="AC235" i="1"/>
  <c r="AC323" i="1"/>
  <c r="AC61" i="9" s="1"/>
  <c r="AC394" i="1"/>
  <c r="AC329" i="1" s="1"/>
  <c r="AC63" i="9" s="1"/>
  <c r="AC402" i="1"/>
  <c r="AC389" i="1"/>
  <c r="I108" i="9"/>
  <c r="I235" i="1"/>
  <c r="I237" i="1" s="1"/>
  <c r="I323" i="1"/>
  <c r="I61" i="9" s="1"/>
  <c r="I394" i="1"/>
  <c r="I402" i="1"/>
  <c r="I389" i="1"/>
  <c r="AJ39" i="9"/>
  <c r="P39" i="9"/>
  <c r="AP616" i="1"/>
  <c r="AP621" i="1" s="1"/>
  <c r="AE116" i="9"/>
  <c r="V616" i="1"/>
  <c r="V621" i="1" s="1"/>
  <c r="K116" i="9"/>
  <c r="O214" i="1"/>
  <c r="O343" i="1"/>
  <c r="O347" i="1" s="1"/>
  <c r="O349" i="1" s="1"/>
  <c r="O314" i="1"/>
  <c r="AL67" i="9"/>
  <c r="AL447" i="1"/>
  <c r="AL448" i="1" s="1"/>
  <c r="AL449" i="1" s="1"/>
  <c r="AL450" i="1" s="1"/>
  <c r="AL431" i="1"/>
  <c r="F551" i="1"/>
  <c r="G550" i="1" s="1"/>
  <c r="H550" i="1" s="1"/>
  <c r="I550" i="1" s="1"/>
  <c r="J550" i="1" s="1"/>
  <c r="K550" i="1" s="1"/>
  <c r="K551" i="1" s="1"/>
  <c r="L550" i="1" s="1"/>
  <c r="AT469" i="1"/>
  <c r="Z469" i="1"/>
  <c r="AZ689" i="1"/>
  <c r="BA455" i="1"/>
  <c r="AL43" i="9"/>
  <c r="AL47" i="9" s="1"/>
  <c r="AL417" i="1"/>
  <c r="R43" i="9"/>
  <c r="R47" i="9" s="1"/>
  <c r="R417" i="1"/>
  <c r="M60" i="9"/>
  <c r="AU39" i="9"/>
  <c r="AA39" i="9"/>
  <c r="BB616" i="1"/>
  <c r="AW621" i="1"/>
  <c r="AO624" i="1"/>
  <c r="AK623" i="1"/>
  <c r="AP116" i="9"/>
  <c r="AG622" i="1"/>
  <c r="AC621" i="1"/>
  <c r="U624" i="1"/>
  <c r="Q623" i="1"/>
  <c r="V116" i="9"/>
  <c r="E624" i="1"/>
  <c r="J314" i="1"/>
  <c r="J214" i="1"/>
  <c r="J216" i="1" s="1"/>
  <c r="J343" i="1"/>
  <c r="J347" i="1" s="1"/>
  <c r="J349" i="1" s="1"/>
  <c r="AJ410" i="1"/>
  <c r="P237" i="1"/>
  <c r="AJ51" i="9"/>
  <c r="AJ467" i="1"/>
  <c r="AJ330" i="1"/>
  <c r="Q51" i="9"/>
  <c r="Q467" i="1"/>
  <c r="Q330" i="1"/>
  <c r="L51" i="9"/>
  <c r="L467" i="1"/>
  <c r="L330" i="1"/>
  <c r="AN39" i="9"/>
  <c r="R228" i="1"/>
  <c r="AR237" i="1"/>
  <c r="AR236" i="1"/>
  <c r="X410" i="1"/>
  <c r="AN317" i="1"/>
  <c r="T321" i="1"/>
  <c r="T58" i="9" s="1"/>
  <c r="AH51" i="9"/>
  <c r="AH467" i="1"/>
  <c r="AH330" i="1"/>
  <c r="AI39" i="9"/>
  <c r="AH8" i="1"/>
  <c r="AI7" i="1"/>
  <c r="AH12" i="1"/>
  <c r="AH11" i="1"/>
  <c r="AH27" i="9" s="1"/>
  <c r="AH10" i="1"/>
  <c r="AD152" i="1"/>
  <c r="AS171" i="1"/>
  <c r="AE78" i="1"/>
  <c r="AM176" i="1"/>
  <c r="AM61" i="1"/>
  <c r="AG165" i="1"/>
  <c r="AG168" i="1" s="1"/>
  <c r="AV410" i="1"/>
  <c r="AB237" i="1"/>
  <c r="AB236" i="1"/>
  <c r="D383" i="1"/>
  <c r="D388" i="1" s="1"/>
  <c r="AL51" i="9"/>
  <c r="AL467" i="1"/>
  <c r="AL330" i="1"/>
  <c r="S51" i="9"/>
  <c r="S467" i="1"/>
  <c r="S330" i="1"/>
  <c r="N51" i="9"/>
  <c r="N467" i="1"/>
  <c r="N330" i="1"/>
  <c r="AS108" i="9"/>
  <c r="AS109" i="9" s="1"/>
  <c r="AS235" i="1"/>
  <c r="AS323" i="1"/>
  <c r="AS61" i="9" s="1"/>
  <c r="AS394" i="1"/>
  <c r="AS329" i="1" s="1"/>
  <c r="AS63" i="9" s="1"/>
  <c r="AS389" i="1"/>
  <c r="AS622" i="1"/>
  <c r="AX617" i="1"/>
  <c r="BC617" i="1" s="1"/>
  <c r="Y622" i="1"/>
  <c r="AD202" i="1"/>
  <c r="AD24" i="1"/>
  <c r="AO192" i="1"/>
  <c r="AO201" i="1"/>
  <c r="AO21" i="1"/>
  <c r="AS12" i="1"/>
  <c r="AS10" i="1"/>
  <c r="AS11" i="1"/>
  <c r="AS27" i="9" s="1"/>
  <c r="Y10" i="1"/>
  <c r="Y11" i="1"/>
  <c r="Y27" i="9" s="1"/>
  <c r="J7" i="1"/>
  <c r="I10" i="1"/>
  <c r="AX100" i="1"/>
  <c r="AX25" i="9" s="1"/>
  <c r="AX146" i="1"/>
  <c r="AX102" i="1"/>
  <c r="AB171" i="1"/>
  <c r="AC170" i="1"/>
  <c r="AR165" i="1"/>
  <c r="AR170" i="1" s="1"/>
  <c r="AJ418" i="1"/>
  <c r="AF237" i="1"/>
  <c r="AF236" i="1"/>
  <c r="L410" i="1"/>
  <c r="AN321" i="1"/>
  <c r="AN58" i="9" s="1"/>
  <c r="AF51" i="9"/>
  <c r="AF467" i="1"/>
  <c r="AF330" i="1"/>
  <c r="AS39" i="9"/>
  <c r="C351" i="1"/>
  <c r="AS24" i="1"/>
  <c r="Y202" i="1"/>
  <c r="Y24" i="1"/>
  <c r="AR181" i="1"/>
  <c r="AR16" i="1" s="1"/>
  <c r="AR192" i="1"/>
  <c r="AR201" i="1" s="1"/>
  <c r="AR21" i="1"/>
  <c r="AB181" i="1"/>
  <c r="AB16" i="1" s="1"/>
  <c r="AB17" i="1" s="1"/>
  <c r="AB29" i="9" s="1"/>
  <c r="AB192" i="1"/>
  <c r="AB196" i="1" s="1"/>
  <c r="AB21" i="1"/>
  <c r="L192" i="1"/>
  <c r="L201" i="1" s="1"/>
  <c r="L21" i="1"/>
  <c r="AF196" i="1"/>
  <c r="AR11" i="1"/>
  <c r="AR27" i="9" s="1"/>
  <c r="AR8" i="1"/>
  <c r="AS7" i="1"/>
  <c r="AS8" i="1" s="1"/>
  <c r="AR12" i="1"/>
  <c r="AR10" i="1"/>
  <c r="X11" i="1"/>
  <c r="X27" i="9" s="1"/>
  <c r="X8" i="1"/>
  <c r="Y7" i="1"/>
  <c r="Y8" i="1" s="1"/>
  <c r="X12" i="1"/>
  <c r="X10" i="1"/>
  <c r="H10" i="1"/>
  <c r="H8" i="1"/>
  <c r="I7" i="1"/>
  <c r="I8" i="1" s="1"/>
  <c r="H12" i="1"/>
  <c r="AZ191" i="1"/>
  <c r="AZ138" i="1"/>
  <c r="BA136" i="1"/>
  <c r="AW124" i="1"/>
  <c r="AW123" i="1"/>
  <c r="AX172" i="1"/>
  <c r="AE118" i="1"/>
  <c r="AL104" i="1"/>
  <c r="AX82" i="1"/>
  <c r="AX80" i="1"/>
  <c r="AX24" i="9" s="1"/>
  <c r="AX145" i="1"/>
  <c r="AB170" i="1"/>
  <c r="AL56" i="1"/>
  <c r="AM165" i="1"/>
  <c r="AM171" i="1" s="1"/>
  <c r="AI168" i="1"/>
  <c r="AL156" i="1"/>
  <c r="AB157" i="1"/>
  <c r="AC151" i="1"/>
  <c r="M151" i="1"/>
  <c r="AM104" i="1"/>
  <c r="AM192" i="1"/>
  <c r="AM202" i="1" s="1"/>
  <c r="AI181" i="1"/>
  <c r="AI16" i="1" s="1"/>
  <c r="AA192" i="1"/>
  <c r="AA202" i="1" s="1"/>
  <c r="Z203" i="1"/>
  <c r="R203" i="1"/>
  <c r="AF155" i="1"/>
  <c r="AK154" i="1"/>
  <c r="AK153" i="1"/>
  <c r="AF151" i="1"/>
  <c r="P151" i="1"/>
  <c r="AY24" i="1"/>
  <c r="AY26" i="1" s="1"/>
  <c r="AY19" i="9" s="1"/>
  <c r="S202" i="1"/>
  <c r="S203" i="1" s="1"/>
  <c r="AE122" i="1"/>
  <c r="AV84" i="1"/>
  <c r="AQ11" i="1"/>
  <c r="AQ27" i="9" s="1"/>
  <c r="AA10" i="1"/>
  <c r="AE198" i="1"/>
  <c r="AU203" i="1"/>
  <c r="AL181" i="1"/>
  <c r="AL16" i="1" s="1"/>
  <c r="AH203" i="1"/>
  <c r="AD192" i="1"/>
  <c r="K195" i="1"/>
  <c r="U203" i="1"/>
  <c r="M203" i="1"/>
  <c r="AS156" i="1"/>
  <c r="AS155" i="1"/>
  <c r="AS154" i="1"/>
  <c r="AS153" i="1"/>
  <c r="AS157" i="1" s="1"/>
  <c r="M150" i="1"/>
  <c r="M157" i="1" s="1"/>
  <c r="R202" i="1"/>
  <c r="AI56" i="1"/>
  <c r="AI10" i="1"/>
  <c r="AE199" i="1"/>
  <c r="Z195" i="1"/>
  <c r="AR156" i="1"/>
  <c r="AW155" i="1"/>
  <c r="AC155" i="1"/>
  <c r="AH154" i="1"/>
  <c r="AH153" i="1"/>
  <c r="AH157" i="1" s="1"/>
  <c r="AD151" i="1"/>
  <c r="T150" i="1"/>
  <c r="T157" i="1" s="1"/>
  <c r="AD123" i="1"/>
  <c r="BB89" i="1"/>
  <c r="BC86" i="1"/>
  <c r="BB178" i="1"/>
  <c r="AR84" i="1"/>
  <c r="AH165" i="1"/>
  <c r="AH172" i="1" s="1"/>
  <c r="AM10" i="1"/>
  <c r="B801" i="1"/>
  <c r="B4" i="1" s="1"/>
  <c r="A2" i="1"/>
  <c r="A2" i="11" s="1"/>
  <c r="S32" i="1"/>
  <c r="S20" i="9" s="1"/>
  <c r="AE32" i="1"/>
  <c r="AE20" i="9" s="1"/>
  <c r="BC232" i="1"/>
  <c r="S99" i="9"/>
  <c r="S48" i="9"/>
  <c r="AG99" i="9"/>
  <c r="AG48" i="9"/>
  <c r="U99" i="9"/>
  <c r="U100" i="9" s="1"/>
  <c r="U48" i="9"/>
  <c r="F112" i="9"/>
  <c r="F113" i="9" s="1"/>
  <c r="AO112" i="9"/>
  <c r="AO113" i="9" s="1"/>
  <c r="S112" i="9"/>
  <c r="AF112" i="9"/>
  <c r="V112" i="9"/>
  <c r="Q112" i="9"/>
  <c r="O81" i="9"/>
  <c r="O83" i="9" s="1"/>
  <c r="O71" i="9"/>
  <c r="O78" i="9" s="1"/>
  <c r="O135" i="9" s="1"/>
  <c r="AW81" i="9"/>
  <c r="AW83" i="9" s="1"/>
  <c r="AW71" i="9"/>
  <c r="AW78" i="9" s="1"/>
  <c r="AW135" i="9" s="1"/>
  <c r="AH99" i="9"/>
  <c r="AH48" i="9"/>
  <c r="Z99" i="9"/>
  <c r="Z100" i="9" s="1"/>
  <c r="Z103" i="9" s="1"/>
  <c r="Z48" i="9"/>
  <c r="AM99" i="9"/>
  <c r="AM48" i="9"/>
  <c r="W99" i="9"/>
  <c r="W48" i="9"/>
  <c r="G99" i="9"/>
  <c r="G48" i="9"/>
  <c r="H99" i="9"/>
  <c r="H48" i="9"/>
  <c r="U112" i="9"/>
  <c r="U113" i="9" s="1"/>
  <c r="U103" i="9"/>
  <c r="L112" i="9"/>
  <c r="Y112" i="9"/>
  <c r="AC99" i="9"/>
  <c r="AC48" i="9"/>
  <c r="AO99" i="9"/>
  <c r="AO100" i="9" s="1"/>
  <c r="AO48" i="9"/>
  <c r="I99" i="9"/>
  <c r="I48" i="9"/>
  <c r="AT112" i="9"/>
  <c r="AT113" i="9" s="1"/>
  <c r="M112" i="9"/>
  <c r="AB112" i="9"/>
  <c r="AO81" i="9"/>
  <c r="AO83" i="9" s="1"/>
  <c r="AO71" i="9"/>
  <c r="AO78" i="9" s="1"/>
  <c r="AO135" i="9" s="1"/>
  <c r="AK81" i="9"/>
  <c r="AK83" i="9" s="1"/>
  <c r="AK71" i="9"/>
  <c r="AK78" i="9" s="1"/>
  <c r="AK135" i="9" s="1"/>
  <c r="AG81" i="9"/>
  <c r="AG83" i="9" s="1"/>
  <c r="AG71" i="9"/>
  <c r="AG78" i="9" s="1"/>
  <c r="AG135" i="9" s="1"/>
  <c r="AC81" i="9"/>
  <c r="AC83" i="9" s="1"/>
  <c r="AC71" i="9"/>
  <c r="AC78" i="9" s="1"/>
  <c r="AC135" i="9" s="1"/>
  <c r="U81" i="9"/>
  <c r="U83" i="9" s="1"/>
  <c r="U71" i="9"/>
  <c r="U78" i="9" s="1"/>
  <c r="U135" i="9" s="1"/>
  <c r="Q71" i="9"/>
  <c r="Q78" i="9" s="1"/>
  <c r="Q135" i="9" s="1"/>
  <c r="Q81" i="9"/>
  <c r="Q83" i="9" s="1"/>
  <c r="M71" i="9"/>
  <c r="M78" i="9" s="1"/>
  <c r="M135" i="9" s="1"/>
  <c r="M81" i="9"/>
  <c r="M83" i="9" s="1"/>
  <c r="E81" i="9"/>
  <c r="E83" i="9" s="1"/>
  <c r="E71" i="9"/>
  <c r="E78" i="9" s="1"/>
  <c r="E135" i="9" s="1"/>
  <c r="AQ99" i="9"/>
  <c r="AQ48" i="9"/>
  <c r="BC227" i="1"/>
  <c r="AW99" i="9"/>
  <c r="AW48" i="9"/>
  <c r="AK99" i="9"/>
  <c r="AK48" i="9"/>
  <c r="Q99" i="9"/>
  <c r="Q48" i="9"/>
  <c r="T112" i="9"/>
  <c r="AC112" i="9"/>
  <c r="AV112" i="9"/>
  <c r="X112" i="9"/>
  <c r="AG112" i="9"/>
  <c r="I81" i="9"/>
  <c r="I83" i="9" s="1"/>
  <c r="I71" i="9"/>
  <c r="I78" i="9" s="1"/>
  <c r="I135" i="9" s="1"/>
  <c r="BC211" i="1"/>
  <c r="V99" i="9" l="1"/>
  <c r="V48" i="9"/>
  <c r="AL48" i="9"/>
  <c r="AL99" i="9"/>
  <c r="AP99" i="9"/>
  <c r="AP48" i="9"/>
  <c r="F48" i="9"/>
  <c r="F99" i="9"/>
  <c r="F100" i="9" s="1"/>
  <c r="M550" i="1"/>
  <c r="L551" i="1"/>
  <c r="F786" i="1"/>
  <c r="F777" i="1"/>
  <c r="F775" i="1" s="1"/>
  <c r="F483" i="1" s="1"/>
  <c r="F770" i="1"/>
  <c r="F768" i="1" s="1"/>
  <c r="F482" i="1" s="1"/>
  <c r="F784" i="1"/>
  <c r="F782" i="1" s="1"/>
  <c r="F779" i="1"/>
  <c r="F772" i="1"/>
  <c r="R48" i="9"/>
  <c r="R99" i="9"/>
  <c r="AW13" i="1"/>
  <c r="AW14" i="1"/>
  <c r="J131" i="9"/>
  <c r="AT99" i="9"/>
  <c r="AT100" i="9" s="1"/>
  <c r="AT107" i="9" s="1"/>
  <c r="AT48" i="9"/>
  <c r="N99" i="9"/>
  <c r="N48" i="9"/>
  <c r="B4" i="11"/>
  <c r="B3" i="1"/>
  <c r="BC89" i="1"/>
  <c r="BC178" i="1"/>
  <c r="BD86" i="1"/>
  <c r="AD714" i="1"/>
  <c r="AD200" i="1"/>
  <c r="AD195" i="1"/>
  <c r="AD201" i="1"/>
  <c r="AD203" i="1" s="1"/>
  <c r="AD196" i="1"/>
  <c r="AD199" i="1"/>
  <c r="AD198" i="1"/>
  <c r="AD197" i="1"/>
  <c r="AI19" i="1"/>
  <c r="AI31" i="9" s="1"/>
  <c r="AI17" i="1"/>
  <c r="AI29" i="9" s="1"/>
  <c r="AM169" i="1"/>
  <c r="BB136" i="1"/>
  <c r="BA191" i="1"/>
  <c r="BA138" i="1"/>
  <c r="X14" i="1"/>
  <c r="X13" i="1"/>
  <c r="AB201" i="1"/>
  <c r="I12" i="1"/>
  <c r="I13" i="1" s="1"/>
  <c r="AD26" i="1"/>
  <c r="AD19" i="9" s="1"/>
  <c r="AD25" i="1"/>
  <c r="AI26" i="1"/>
  <c r="AI19" i="9" s="1"/>
  <c r="AD28" i="1"/>
  <c r="AF25" i="1"/>
  <c r="S64" i="9"/>
  <c r="S117" i="9"/>
  <c r="S130" i="9"/>
  <c r="D108" i="9"/>
  <c r="D109" i="9" s="1"/>
  <c r="D113" i="9" s="1"/>
  <c r="D402" i="1"/>
  <c r="D389" i="1"/>
  <c r="D235" i="1"/>
  <c r="D323" i="1"/>
  <c r="D61" i="9" s="1"/>
  <c r="D394" i="1"/>
  <c r="AI8" i="1"/>
  <c r="AI12" i="1"/>
  <c r="AJ90" i="9"/>
  <c r="AJ87" i="9" s="1"/>
  <c r="AJ64" i="9"/>
  <c r="AJ130" i="9"/>
  <c r="AJ117" i="9"/>
  <c r="J367" i="1"/>
  <c r="J372" i="1" s="1"/>
  <c r="K721" i="1" s="1"/>
  <c r="J351" i="1"/>
  <c r="I406" i="1"/>
  <c r="I417" i="1"/>
  <c r="I418" i="1"/>
  <c r="AW406" i="1"/>
  <c r="AW418" i="1"/>
  <c r="AW417" i="1"/>
  <c r="AW109" i="9"/>
  <c r="AN354" i="1"/>
  <c r="AN359" i="1" s="1"/>
  <c r="AN351" i="1"/>
  <c r="V236" i="1"/>
  <c r="V237" i="1"/>
  <c r="AP406" i="1"/>
  <c r="AP418" i="1"/>
  <c r="U726" i="1"/>
  <c r="K395" i="1"/>
  <c r="K329" i="1"/>
  <c r="K63" i="9" s="1"/>
  <c r="AE52" i="9"/>
  <c r="AE132" i="9" s="1"/>
  <c r="AE324" i="1"/>
  <c r="AE62" i="9" s="1"/>
  <c r="F80" i="9"/>
  <c r="F119" i="9"/>
  <c r="F69" i="9"/>
  <c r="F91" i="9"/>
  <c r="F88" i="9" s="1"/>
  <c r="AN67" i="9"/>
  <c r="AN447" i="1"/>
  <c r="AN448" i="1" s="1"/>
  <c r="AN449" i="1" s="1"/>
  <c r="AN450" i="1" s="1"/>
  <c r="AN431" i="1"/>
  <c r="S67" i="9"/>
  <c r="S447" i="1"/>
  <c r="S448" i="1" s="1"/>
  <c r="S449" i="1" s="1"/>
  <c r="S450" i="1" s="1"/>
  <c r="S431" i="1"/>
  <c r="P105" i="9"/>
  <c r="P106" i="9" s="1"/>
  <c r="U105" i="9"/>
  <c r="U106" i="9" s="1"/>
  <c r="U107" i="9" s="1"/>
  <c r="AW105" i="9"/>
  <c r="AW106" i="9" s="1"/>
  <c r="AV105" i="9"/>
  <c r="AV106" i="9" s="1"/>
  <c r="G1" i="9"/>
  <c r="G766" i="1"/>
  <c r="G3" i="1"/>
  <c r="H4" i="1"/>
  <c r="AD171" i="1"/>
  <c r="AD168" i="1"/>
  <c r="AD169" i="1"/>
  <c r="AD167" i="1"/>
  <c r="AB14" i="1"/>
  <c r="AB13" i="1"/>
  <c r="P714" i="1"/>
  <c r="P194" i="1"/>
  <c r="P202" i="1"/>
  <c r="P195" i="1"/>
  <c r="AV19" i="1"/>
  <c r="AV31" i="9" s="1"/>
  <c r="T60" i="9"/>
  <c r="AQ172" i="1"/>
  <c r="N8" i="1"/>
  <c r="N12" i="1"/>
  <c r="AW8" i="1"/>
  <c r="AC714" i="1"/>
  <c r="AC197" i="1"/>
  <c r="AC198" i="1"/>
  <c r="AC196" i="1"/>
  <c r="AC195" i="1"/>
  <c r="AC200" i="1"/>
  <c r="AC199" i="1"/>
  <c r="AW714" i="1"/>
  <c r="AW202" i="1"/>
  <c r="AW200" i="1"/>
  <c r="AW199" i="1"/>
  <c r="AW198" i="1"/>
  <c r="AW197" i="1"/>
  <c r="AS621" i="1"/>
  <c r="AA26" i="1"/>
  <c r="AA19" i="9" s="1"/>
  <c r="AA25" i="1"/>
  <c r="AA28" i="1"/>
  <c r="AF26" i="1"/>
  <c r="AF19" i="9" s="1"/>
  <c r="AB25" i="1"/>
  <c r="AE64" i="9"/>
  <c r="AE90" i="9"/>
  <c r="AE87" i="9" s="1"/>
  <c r="AE117" i="9"/>
  <c r="AE130" i="9"/>
  <c r="AD354" i="1"/>
  <c r="AD359" i="1" s="1"/>
  <c r="AD351" i="1"/>
  <c r="AE131" i="9"/>
  <c r="AE42" i="9"/>
  <c r="AE47" i="9" s="1"/>
  <c r="H52" i="9"/>
  <c r="H132" i="9" s="1"/>
  <c r="H324" i="1"/>
  <c r="H62" i="9" s="1"/>
  <c r="X131" i="9"/>
  <c r="X42" i="9"/>
  <c r="X47" i="9" s="1"/>
  <c r="AG52" i="9"/>
  <c r="AG132" i="9" s="1"/>
  <c r="AG324" i="1"/>
  <c r="AG62" i="9" s="1"/>
  <c r="AG236" i="1"/>
  <c r="AG237" i="1"/>
  <c r="AG238" i="1" s="1"/>
  <c r="F329" i="1"/>
  <c r="F63" i="9" s="1"/>
  <c r="F395" i="1"/>
  <c r="Z52" i="9"/>
  <c r="Z132" i="9" s="1"/>
  <c r="Z324" i="1"/>
  <c r="Z62" i="9" s="1"/>
  <c r="AB621" i="1"/>
  <c r="S236" i="1"/>
  <c r="S237" i="1"/>
  <c r="AM406" i="1"/>
  <c r="AM417" i="1"/>
  <c r="AM418" i="1"/>
  <c r="S105" i="9"/>
  <c r="S106" i="9" s="1"/>
  <c r="D105" i="9"/>
  <c r="D106" i="9" s="1"/>
  <c r="E105" i="9"/>
  <c r="E106" i="9" s="1"/>
  <c r="L67" i="9"/>
  <c r="L447" i="1"/>
  <c r="L448" i="1" s="1"/>
  <c r="L449" i="1" s="1"/>
  <c r="L450" i="1" s="1"/>
  <c r="L431" i="1"/>
  <c r="AJ726" i="1"/>
  <c r="AF361" i="1"/>
  <c r="AF365" i="1" s="1"/>
  <c r="AH102" i="9"/>
  <c r="AH112" i="9" s="1"/>
  <c r="AI102" i="9"/>
  <c r="AI112" i="9" s="1"/>
  <c r="AK102" i="9"/>
  <c r="AK112" i="9" s="1"/>
  <c r="BC677" i="1"/>
  <c r="K2" i="9"/>
  <c r="K5" i="11"/>
  <c r="P5" i="1"/>
  <c r="L5" i="1"/>
  <c r="AA160" i="1"/>
  <c r="AE46" i="1"/>
  <c r="AE160" i="1" s="1"/>
  <c r="T714" i="1"/>
  <c r="T195" i="1"/>
  <c r="T194" i="1"/>
  <c r="T202" i="1"/>
  <c r="W64" i="9"/>
  <c r="W130" i="9"/>
  <c r="W117" i="9"/>
  <c r="AB169" i="1"/>
  <c r="AR171" i="1"/>
  <c r="R8" i="1"/>
  <c r="R12" i="1"/>
  <c r="AG714" i="1"/>
  <c r="AG202" i="1"/>
  <c r="AG200" i="1"/>
  <c r="AG199" i="1"/>
  <c r="AG197" i="1"/>
  <c r="AG198" i="1"/>
  <c r="AG196" i="1"/>
  <c r="AG195" i="1"/>
  <c r="AS624" i="1"/>
  <c r="AU64" i="9"/>
  <c r="AU117" i="9"/>
  <c r="AU130" i="9"/>
  <c r="AB172" i="1"/>
  <c r="AQ8" i="1"/>
  <c r="AQ12" i="1"/>
  <c r="AR415" i="1"/>
  <c r="AR412" i="1"/>
  <c r="AR421" i="1" s="1"/>
  <c r="AR420" i="1"/>
  <c r="Z117" i="9"/>
  <c r="Z130" i="9"/>
  <c r="Z90" i="9"/>
  <c r="Z87" i="9" s="1"/>
  <c r="Z64" i="9"/>
  <c r="Q52" i="9"/>
  <c r="Q132" i="9" s="1"/>
  <c r="Q324" i="1"/>
  <c r="Q62" i="9" s="1"/>
  <c r="Q236" i="1"/>
  <c r="Q237" i="1"/>
  <c r="Q238" i="1" s="1"/>
  <c r="N236" i="1"/>
  <c r="N237" i="1"/>
  <c r="N238" i="1" s="1"/>
  <c r="AH406" i="1"/>
  <c r="AH418" i="1"/>
  <c r="AV621" i="1"/>
  <c r="C52" i="9"/>
  <c r="C132" i="9" s="1"/>
  <c r="C324" i="1"/>
  <c r="C62" i="9" s="1"/>
  <c r="AQ52" i="9"/>
  <c r="AQ132" i="9" s="1"/>
  <c r="AQ324" i="1"/>
  <c r="AQ62" i="9" s="1"/>
  <c r="J80" i="9"/>
  <c r="O119" i="9"/>
  <c r="J69" i="9"/>
  <c r="AP119" i="9"/>
  <c r="AP69" i="9"/>
  <c r="AP80" i="9"/>
  <c r="AU67" i="9"/>
  <c r="AU447" i="1"/>
  <c r="AU448" i="1" s="1"/>
  <c r="AU449" i="1" s="1"/>
  <c r="AU450" i="1" s="1"/>
  <c r="AU431" i="1"/>
  <c r="AJ67" i="9"/>
  <c r="AJ447" i="1"/>
  <c r="AJ448" i="1" s="1"/>
  <c r="AJ449" i="1" s="1"/>
  <c r="AJ450" i="1" s="1"/>
  <c r="AJ431" i="1"/>
  <c r="AL102" i="9"/>
  <c r="AL112" i="9" s="1"/>
  <c r="AM102" i="9"/>
  <c r="AM112" i="9" s="1"/>
  <c r="AC157" i="1"/>
  <c r="AM19" i="1"/>
  <c r="AM31" i="9" s="1"/>
  <c r="AM17" i="1"/>
  <c r="AM29" i="9" s="1"/>
  <c r="AN22" i="1"/>
  <c r="AN23" i="1"/>
  <c r="AN18" i="9" s="1"/>
  <c r="AN28" i="1"/>
  <c r="AP22" i="1"/>
  <c r="R25" i="1"/>
  <c r="Q25" i="1"/>
  <c r="Q26" i="1"/>
  <c r="Q19" i="9" s="1"/>
  <c r="Q28" i="1"/>
  <c r="AK130" i="9"/>
  <c r="AK117" i="9"/>
  <c r="AK64" i="9"/>
  <c r="BB62" i="1"/>
  <c r="BA177" i="1"/>
  <c r="BA65" i="1"/>
  <c r="AK714" i="1"/>
  <c r="AK195" i="1"/>
  <c r="AK200" i="1"/>
  <c r="AK199" i="1"/>
  <c r="AK197" i="1"/>
  <c r="AK198" i="1"/>
  <c r="AK196" i="1"/>
  <c r="X130" i="9"/>
  <c r="Y90" i="9"/>
  <c r="Y87" i="9" s="1"/>
  <c r="X117" i="9"/>
  <c r="X64" i="9"/>
  <c r="AC168" i="1"/>
  <c r="AC167" i="1"/>
  <c r="AC172" i="1"/>
  <c r="AD236" i="1"/>
  <c r="AD237" i="1"/>
  <c r="P467" i="1"/>
  <c r="U130" i="9"/>
  <c r="U117" i="9"/>
  <c r="U90" i="9"/>
  <c r="U87" i="9" s="1"/>
  <c r="U64" i="9"/>
  <c r="AN60" i="9"/>
  <c r="AI108" i="9"/>
  <c r="AI109" i="9" s="1"/>
  <c r="AI394" i="1"/>
  <c r="AI329" i="1" s="1"/>
  <c r="AI63" i="9" s="1"/>
  <c r="AI389" i="1"/>
  <c r="AI235" i="1"/>
  <c r="AI323" i="1"/>
  <c r="AI61" i="9" s="1"/>
  <c r="AH417" i="1"/>
  <c r="E406" i="1"/>
  <c r="E417" i="1"/>
  <c r="E418" i="1"/>
  <c r="AO406" i="1"/>
  <c r="AO417" i="1"/>
  <c r="AO418" i="1"/>
  <c r="T215" i="1"/>
  <c r="T216" i="1"/>
  <c r="Y215" i="1"/>
  <c r="R406" i="1"/>
  <c r="R418" i="1"/>
  <c r="AL236" i="1"/>
  <c r="AL237" i="1"/>
  <c r="AL238" i="1" s="1"/>
  <c r="AB623" i="1"/>
  <c r="G395" i="1"/>
  <c r="G329" i="1"/>
  <c r="G63" i="9" s="1"/>
  <c r="AA52" i="9"/>
  <c r="AA132" i="9" s="1"/>
  <c r="AA324" i="1"/>
  <c r="AA62" i="9" s="1"/>
  <c r="AI67" i="9"/>
  <c r="AI447" i="1"/>
  <c r="AI448" i="1" s="1"/>
  <c r="AI449" i="1" s="1"/>
  <c r="AI450" i="1" s="1"/>
  <c r="AI431" i="1"/>
  <c r="AA105" i="9"/>
  <c r="AA106" i="9" s="1"/>
  <c r="Y67" i="9"/>
  <c r="Y447" i="1"/>
  <c r="Y448" i="1" s="1"/>
  <c r="Y449" i="1" s="1"/>
  <c r="Y450" i="1" s="1"/>
  <c r="Y431" i="1"/>
  <c r="AE67" i="9"/>
  <c r="AE447" i="1"/>
  <c r="AE431" i="1"/>
  <c r="X67" i="9"/>
  <c r="X447" i="1"/>
  <c r="X448" i="1" s="1"/>
  <c r="X449" i="1" s="1"/>
  <c r="X450" i="1" s="1"/>
  <c r="X431" i="1"/>
  <c r="AV608" i="1"/>
  <c r="S608" i="1"/>
  <c r="AQ608" i="1"/>
  <c r="AJ75" i="11"/>
  <c r="AE608" i="1"/>
  <c r="AE715" i="1" s="1"/>
  <c r="AH167" i="1"/>
  <c r="AH169" i="1"/>
  <c r="AH171" i="1"/>
  <c r="AH168" i="1"/>
  <c r="AM714" i="1"/>
  <c r="AM197" i="1"/>
  <c r="AM200" i="1"/>
  <c r="AM199" i="1"/>
  <c r="AM198" i="1"/>
  <c r="AM201" i="1"/>
  <c r="AM203" i="1" s="1"/>
  <c r="AM196" i="1"/>
  <c r="AM195" i="1"/>
  <c r="AM167" i="1"/>
  <c r="AM170" i="1"/>
  <c r="AR13" i="1"/>
  <c r="AB23" i="1"/>
  <c r="AB18" i="9" s="1"/>
  <c r="AB22" i="1"/>
  <c r="AB28" i="1"/>
  <c r="AR22" i="1"/>
  <c r="AR23" i="1"/>
  <c r="AR18" i="9" s="1"/>
  <c r="AR28" i="1"/>
  <c r="Y25" i="1"/>
  <c r="Y26" i="1"/>
  <c r="Y19" i="9" s="1"/>
  <c r="Y28" i="1"/>
  <c r="J8" i="1"/>
  <c r="J12" i="1"/>
  <c r="Y12" i="1"/>
  <c r="AS13" i="1"/>
  <c r="AS14" i="1"/>
  <c r="AO23" i="1"/>
  <c r="AO18" i="9" s="1"/>
  <c r="AO28" i="1"/>
  <c r="AT23" i="1"/>
  <c r="AT18" i="9" s="1"/>
  <c r="AS52" i="9"/>
  <c r="AS132" i="9" s="1"/>
  <c r="AS324" i="1"/>
  <c r="AS62" i="9" s="1"/>
  <c r="AS237" i="1"/>
  <c r="N130" i="9"/>
  <c r="N64" i="9"/>
  <c r="AG172" i="1"/>
  <c r="AG167" i="1"/>
  <c r="AJ76" i="1"/>
  <c r="AF76" i="1"/>
  <c r="AE145" i="1"/>
  <c r="AH117" i="9"/>
  <c r="AH64" i="9"/>
  <c r="AH130" i="9"/>
  <c r="Q130" i="9"/>
  <c r="Q64" i="9"/>
  <c r="Q117" i="9"/>
  <c r="AJ415" i="1"/>
  <c r="AJ412" i="1"/>
  <c r="AJ421" i="1" s="1"/>
  <c r="AJ420" i="1"/>
  <c r="BA689" i="1"/>
  <c r="BB455" i="1"/>
  <c r="P131" i="9"/>
  <c r="P42" i="9"/>
  <c r="P47" i="9" s="1"/>
  <c r="I329" i="1"/>
  <c r="I63" i="9" s="1"/>
  <c r="I395" i="1"/>
  <c r="AC52" i="9"/>
  <c r="AC132" i="9" s="1"/>
  <c r="AC324" i="1"/>
  <c r="AC62" i="9" s="1"/>
  <c r="AC236" i="1"/>
  <c r="AC237" i="1"/>
  <c r="AC238" i="1" s="1"/>
  <c r="T80" i="9"/>
  <c r="T119" i="9"/>
  <c r="T91" i="9"/>
  <c r="T88" i="9" s="1"/>
  <c r="T69" i="9"/>
  <c r="V52" i="9"/>
  <c r="V132" i="9" s="1"/>
  <c r="V324" i="1"/>
  <c r="V62" i="9" s="1"/>
  <c r="K236" i="1"/>
  <c r="K237" i="1"/>
  <c r="AE406" i="1"/>
  <c r="AE417" i="1"/>
  <c r="AE418" i="1"/>
  <c r="H67" i="9"/>
  <c r="J91" i="9" s="1"/>
  <c r="J88" i="9" s="1"/>
  <c r="H447" i="1"/>
  <c r="H448" i="1" s="1"/>
  <c r="H449" i="1" s="1"/>
  <c r="H450" i="1" s="1"/>
  <c r="H431" i="1"/>
  <c r="AV67" i="9"/>
  <c r="AV447" i="1"/>
  <c r="AV448" i="1" s="1"/>
  <c r="AV449" i="1" s="1"/>
  <c r="AV450" i="1" s="1"/>
  <c r="AV431" i="1"/>
  <c r="K113" i="9"/>
  <c r="AM168" i="1"/>
  <c r="AV14" i="1"/>
  <c r="P203" i="1"/>
  <c r="AC12" i="1"/>
  <c r="AC23" i="1"/>
  <c r="AC18" i="9" s="1"/>
  <c r="AC22" i="1"/>
  <c r="AC28" i="1"/>
  <c r="AD22" i="1"/>
  <c r="AH23" i="1"/>
  <c r="AH18" i="9" s="1"/>
  <c r="AW23" i="1"/>
  <c r="AW18" i="9" s="1"/>
  <c r="AW22" i="1"/>
  <c r="AW28" i="1"/>
  <c r="AL25" i="1"/>
  <c r="AL26" i="1"/>
  <c r="AL19" i="9" s="1"/>
  <c r="AL28" i="1"/>
  <c r="AQ26" i="1"/>
  <c r="AQ19" i="9" s="1"/>
  <c r="AM8" i="1"/>
  <c r="AM12" i="1"/>
  <c r="AR14" i="1" s="1"/>
  <c r="AD216" i="1"/>
  <c r="AD218" i="1" s="1"/>
  <c r="AD215" i="1"/>
  <c r="H395" i="1"/>
  <c r="H329" i="1"/>
  <c r="H63" i="9" s="1"/>
  <c r="H406" i="1"/>
  <c r="H418" i="1"/>
  <c r="H417" i="1"/>
  <c r="J551" i="1"/>
  <c r="AI354" i="1"/>
  <c r="AI359" i="1" s="1"/>
  <c r="AI351" i="1"/>
  <c r="AR131" i="9"/>
  <c r="AR42" i="9"/>
  <c r="AR47" i="9" s="1"/>
  <c r="AG406" i="1"/>
  <c r="AG418" i="1"/>
  <c r="AG417" i="1"/>
  <c r="AG109" i="9"/>
  <c r="AG113" i="9" s="1"/>
  <c r="F236" i="1"/>
  <c r="F237" i="1"/>
  <c r="Z406" i="1"/>
  <c r="Z418" i="1"/>
  <c r="AT236" i="1"/>
  <c r="AT237" i="1"/>
  <c r="Z119" i="9"/>
  <c r="Z69" i="9"/>
  <c r="Z91" i="9"/>
  <c r="Z88" i="9" s="1"/>
  <c r="Z80" i="9"/>
  <c r="AV622" i="1"/>
  <c r="S52" i="9"/>
  <c r="S132" i="9" s="1"/>
  <c r="S324" i="1"/>
  <c r="S62" i="9" s="1"/>
  <c r="AN608" i="1"/>
  <c r="W67" i="9"/>
  <c r="W447" i="1"/>
  <c r="W448" i="1" s="1"/>
  <c r="W449" i="1" s="1"/>
  <c r="W450" i="1" s="1"/>
  <c r="W431" i="1"/>
  <c r="P726" i="1"/>
  <c r="L361" i="1"/>
  <c r="L365" i="1" s="1"/>
  <c r="AN101" i="9"/>
  <c r="AN707" i="1"/>
  <c r="AN717" i="1"/>
  <c r="AM717" i="1"/>
  <c r="F4" i="11"/>
  <c r="F3" i="11"/>
  <c r="AQ19" i="1"/>
  <c r="AQ31" i="9" s="1"/>
  <c r="AE161" i="1"/>
  <c r="AE50" i="1"/>
  <c r="T203" i="1"/>
  <c r="I25" i="1"/>
  <c r="N26" i="1"/>
  <c r="N19" i="9" s="1"/>
  <c r="I28" i="1"/>
  <c r="O131" i="9"/>
  <c r="AG12" i="1"/>
  <c r="AG23" i="1"/>
  <c r="AG18" i="9" s="1"/>
  <c r="AG28" i="1"/>
  <c r="AG22" i="1"/>
  <c r="AL23" i="1"/>
  <c r="AL18" i="9" s="1"/>
  <c r="AH22" i="1"/>
  <c r="J25" i="1"/>
  <c r="J28" i="1"/>
  <c r="L25" i="1"/>
  <c r="O26" i="1"/>
  <c r="O19" i="9" s="1"/>
  <c r="Y624" i="1"/>
  <c r="AB64" i="9"/>
  <c r="AB117" i="9"/>
  <c r="AB130" i="9"/>
  <c r="AB90" i="9"/>
  <c r="AB87" i="9" s="1"/>
  <c r="AR467" i="1"/>
  <c r="AD67" i="9"/>
  <c r="AD447" i="1"/>
  <c r="AD448" i="1" s="1"/>
  <c r="AD449" i="1" s="1"/>
  <c r="AD450" i="1" s="1"/>
  <c r="AD431" i="1"/>
  <c r="Q406" i="1"/>
  <c r="Q418" i="1"/>
  <c r="Q417" i="1"/>
  <c r="N52" i="9"/>
  <c r="N132" i="9" s="1"/>
  <c r="N324" i="1"/>
  <c r="N62" i="9" s="1"/>
  <c r="C406" i="1"/>
  <c r="C418" i="1"/>
  <c r="C417" i="1"/>
  <c r="W236" i="1"/>
  <c r="W237" i="1"/>
  <c r="AQ406" i="1"/>
  <c r="AQ417" i="1"/>
  <c r="AQ418" i="1"/>
  <c r="Z726" i="1"/>
  <c r="AM105" i="9"/>
  <c r="AM106" i="9" s="1"/>
  <c r="AA67" i="9"/>
  <c r="AA447" i="1"/>
  <c r="AA448" i="1" s="1"/>
  <c r="AA449" i="1" s="1"/>
  <c r="AA450" i="1" s="1"/>
  <c r="AA431" i="1"/>
  <c r="AP105" i="9"/>
  <c r="AP106" i="9" s="1"/>
  <c r="AN105" i="9"/>
  <c r="AN106" i="9" s="1"/>
  <c r="AL167" i="1"/>
  <c r="AL169" i="1"/>
  <c r="AL168" i="1"/>
  <c r="AL171" i="1"/>
  <c r="AL172" i="1"/>
  <c r="T14" i="1"/>
  <c r="T13" i="1"/>
  <c r="AN14" i="1"/>
  <c r="AN13" i="1"/>
  <c r="Y22" i="1"/>
  <c r="X22" i="1"/>
  <c r="X23" i="1"/>
  <c r="X18" i="9" s="1"/>
  <c r="X28" i="1"/>
  <c r="AN714" i="1"/>
  <c r="AN200" i="1"/>
  <c r="AN199" i="1"/>
  <c r="AN198" i="1"/>
  <c r="AN195" i="1"/>
  <c r="AN197" i="1"/>
  <c r="AN202" i="1"/>
  <c r="R117" i="9"/>
  <c r="R64" i="9"/>
  <c r="R130" i="9"/>
  <c r="AB168" i="1"/>
  <c r="AK23" i="1"/>
  <c r="AK18" i="9" s="1"/>
  <c r="AK28" i="1"/>
  <c r="AK22" i="1"/>
  <c r="AP23" i="1"/>
  <c r="AP18" i="9" s="1"/>
  <c r="AL22" i="1"/>
  <c r="W25" i="1"/>
  <c r="V25" i="1"/>
  <c r="V26" i="1"/>
  <c r="V19" i="9" s="1"/>
  <c r="V28" i="1"/>
  <c r="AC173" i="1"/>
  <c r="AG171" i="1"/>
  <c r="AD12" i="1"/>
  <c r="AD52" i="9"/>
  <c r="AD132" i="9" s="1"/>
  <c r="AD324" i="1"/>
  <c r="AD62" i="9" s="1"/>
  <c r="AF109" i="9"/>
  <c r="AF113" i="9" s="1"/>
  <c r="AD109" i="9"/>
  <c r="AD113" i="9" s="1"/>
  <c r="P64" i="9"/>
  <c r="P90" i="9"/>
  <c r="P87" i="9" s="1"/>
  <c r="P130" i="9"/>
  <c r="AW64" i="9"/>
  <c r="AW130" i="9"/>
  <c r="AW117" i="9"/>
  <c r="M131" i="9"/>
  <c r="M42" i="9"/>
  <c r="M47" i="9" s="1"/>
  <c r="C42" i="9"/>
  <c r="C47" i="9" s="1"/>
  <c r="C131" i="9"/>
  <c r="L131" i="9"/>
  <c r="L42" i="9"/>
  <c r="L47" i="9" s="1"/>
  <c r="E329" i="1"/>
  <c r="E63" i="9" s="1"/>
  <c r="E395" i="1"/>
  <c r="U52" i="9"/>
  <c r="U132" i="9" s="1"/>
  <c r="U324" i="1"/>
  <c r="U62" i="9" s="1"/>
  <c r="U236" i="1"/>
  <c r="U237" i="1"/>
  <c r="U238" i="1" s="1"/>
  <c r="G551" i="1"/>
  <c r="AU624" i="1"/>
  <c r="AL52" i="9"/>
  <c r="AL132" i="9" s="1"/>
  <c r="AL324" i="1"/>
  <c r="AL62" i="9" s="1"/>
  <c r="AL109" i="9"/>
  <c r="H551" i="1"/>
  <c r="AA406" i="1"/>
  <c r="AA417" i="1"/>
  <c r="AA418" i="1"/>
  <c r="AU236" i="1"/>
  <c r="AU237" i="1"/>
  <c r="AU109" i="9"/>
  <c r="AV109" i="9"/>
  <c r="AV113" i="9" s="1"/>
  <c r="AI361" i="1"/>
  <c r="AI365" i="1" s="1"/>
  <c r="AI608" i="1"/>
  <c r="Y361" i="1"/>
  <c r="Y365" i="1" s="1"/>
  <c r="Y608" i="1"/>
  <c r="M105" i="9"/>
  <c r="M106" i="9" s="1"/>
  <c r="N105" i="9"/>
  <c r="N106" i="9" s="1"/>
  <c r="L105" i="9"/>
  <c r="L106" i="9" s="1"/>
  <c r="AR105" i="9"/>
  <c r="AR106" i="9" s="1"/>
  <c r="AS105" i="9"/>
  <c r="AS106" i="9" s="1"/>
  <c r="AM608" i="1"/>
  <c r="P608" i="1"/>
  <c r="AX173" i="1"/>
  <c r="AU608" i="1"/>
  <c r="X608" i="1"/>
  <c r="B802" i="1"/>
  <c r="AL19" i="1"/>
  <c r="AL31" i="9" s="1"/>
  <c r="AK157" i="1"/>
  <c r="AZ24" i="1"/>
  <c r="L23" i="1"/>
  <c r="L18" i="9" s="1"/>
  <c r="L28" i="1"/>
  <c r="L22" i="1"/>
  <c r="M22" i="1"/>
  <c r="Q23" i="1"/>
  <c r="Q18" i="9" s="1"/>
  <c r="AB714" i="1"/>
  <c r="AB200" i="1"/>
  <c r="AB199" i="1"/>
  <c r="AB198" i="1"/>
  <c r="AB195" i="1"/>
  <c r="AB197" i="1"/>
  <c r="AB202" i="1"/>
  <c r="AR714" i="1"/>
  <c r="AR200" i="1"/>
  <c r="AR199" i="1"/>
  <c r="AR198" i="1"/>
  <c r="AR197" i="1"/>
  <c r="AR202" i="1"/>
  <c r="AR203" i="1" s="1"/>
  <c r="AF64" i="9"/>
  <c r="AF117" i="9"/>
  <c r="AF130" i="9"/>
  <c r="L415" i="1"/>
  <c r="L412" i="1"/>
  <c r="L421" i="1" s="1"/>
  <c r="L420" i="1"/>
  <c r="AM172" i="1"/>
  <c r="AB238" i="1"/>
  <c r="AG169" i="1"/>
  <c r="AG173" i="1" s="1"/>
  <c r="AI131" i="9"/>
  <c r="X415" i="1"/>
  <c r="X412" i="1"/>
  <c r="X421" i="1" s="1"/>
  <c r="X420" i="1"/>
  <c r="L64" i="9"/>
  <c r="L130" i="9"/>
  <c r="AA131" i="9"/>
  <c r="AA42" i="9"/>
  <c r="AA47" i="9" s="1"/>
  <c r="O367" i="1"/>
  <c r="O372" i="1" s="1"/>
  <c r="P721" i="1" s="1"/>
  <c r="O354" i="1"/>
  <c r="O359" i="1" s="1"/>
  <c r="O395" i="1" s="1"/>
  <c r="O351" i="1"/>
  <c r="AJ131" i="9"/>
  <c r="AJ42" i="9"/>
  <c r="AJ47" i="9" s="1"/>
  <c r="AC406" i="1"/>
  <c r="AC417" i="1"/>
  <c r="AC418" i="1"/>
  <c r="AN215" i="1"/>
  <c r="AN216" i="1"/>
  <c r="AS215" i="1"/>
  <c r="V406" i="1"/>
  <c r="V418" i="1"/>
  <c r="AP236" i="1"/>
  <c r="AP237" i="1"/>
  <c r="T108" i="9"/>
  <c r="T109" i="9" s="1"/>
  <c r="T113" i="9" s="1"/>
  <c r="T389" i="1"/>
  <c r="T235" i="1"/>
  <c r="T323" i="1"/>
  <c r="T61" i="9" s="1"/>
  <c r="T394" i="1"/>
  <c r="T329" i="1" s="1"/>
  <c r="T63" i="9" s="1"/>
  <c r="K52" i="9"/>
  <c r="K132" i="9" s="1"/>
  <c r="K324" i="1"/>
  <c r="K62" i="9" s="1"/>
  <c r="AO726" i="1"/>
  <c r="O105" i="9"/>
  <c r="O106" i="9" s="1"/>
  <c r="R105" i="9"/>
  <c r="R106" i="9" s="1"/>
  <c r="Q105" i="9"/>
  <c r="Q106" i="9" s="1"/>
  <c r="AS67" i="9"/>
  <c r="AS447" i="1"/>
  <c r="AS448" i="1" s="1"/>
  <c r="AS449" i="1" s="1"/>
  <c r="AS450" i="1" s="1"/>
  <c r="AS431" i="1"/>
  <c r="AM67" i="9"/>
  <c r="AM447" i="1"/>
  <c r="AM448" i="1" s="1"/>
  <c r="AM449" i="1" s="1"/>
  <c r="AM450" i="1" s="1"/>
  <c r="AM431" i="1"/>
  <c r="AY454" i="1"/>
  <c r="AY456" i="1"/>
  <c r="AG105" i="9"/>
  <c r="AG106" i="9" s="1"/>
  <c r="AF105" i="9"/>
  <c r="AF106" i="9" s="1"/>
  <c r="AH105" i="9"/>
  <c r="AH106" i="9" s="1"/>
  <c r="H361" i="1"/>
  <c r="H365" i="1" s="1"/>
  <c r="H608" i="1"/>
  <c r="AY68" i="9"/>
  <c r="AY645" i="1"/>
  <c r="AW102" i="9"/>
  <c r="AW112" i="9" s="1"/>
  <c r="AW113" i="9" s="1"/>
  <c r="AX122" i="1"/>
  <c r="AX147" i="1"/>
  <c r="AX120" i="1"/>
  <c r="AX26" i="9" s="1"/>
  <c r="AR157" i="1"/>
  <c r="Q157" i="1"/>
  <c r="I714" i="1"/>
  <c r="I195" i="1"/>
  <c r="I194" i="1"/>
  <c r="I201" i="1"/>
  <c r="AH19" i="1"/>
  <c r="AH31" i="9" s="1"/>
  <c r="AH17" i="1"/>
  <c r="AH29" i="9" s="1"/>
  <c r="AP157" i="1"/>
  <c r="V714" i="1"/>
  <c r="V201" i="1"/>
  <c r="V195" i="1"/>
  <c r="V194" i="1"/>
  <c r="AQ169" i="1"/>
  <c r="AQ173" i="1" s="1"/>
  <c r="BB109" i="1"/>
  <c r="BB179" i="1"/>
  <c r="BC106" i="1"/>
  <c r="AF23" i="1"/>
  <c r="AF18" i="9" s="1"/>
  <c r="AF28" i="1"/>
  <c r="AF22" i="1"/>
  <c r="AV23" i="1"/>
  <c r="AV18" i="9" s="1"/>
  <c r="AV22" i="1"/>
  <c r="AV28" i="1"/>
  <c r="AC26" i="1"/>
  <c r="AC19" i="9" s="1"/>
  <c r="AC25" i="1"/>
  <c r="AH26" i="1"/>
  <c r="AH19" i="9" s="1"/>
  <c r="AA64" i="9"/>
  <c r="AA90" i="9"/>
  <c r="AA87" i="9" s="1"/>
  <c r="AA117" i="9"/>
  <c r="AA130" i="9"/>
  <c r="AV169" i="1"/>
  <c r="AG170" i="1"/>
  <c r="AC17" i="1"/>
  <c r="AC29" i="9" s="1"/>
  <c r="AW17" i="1"/>
  <c r="AW29" i="9" s="1"/>
  <c r="AW19" i="1"/>
  <c r="AW31" i="9" s="1"/>
  <c r="AS169" i="1"/>
  <c r="AC130" i="9"/>
  <c r="AC117" i="9"/>
  <c r="AC90" i="9"/>
  <c r="AC87" i="9" s="1"/>
  <c r="AC64" i="9"/>
  <c r="AV64" i="9"/>
  <c r="AV117" i="9"/>
  <c r="AV130" i="9"/>
  <c r="AP417" i="1"/>
  <c r="AI215" i="1"/>
  <c r="AI216" i="1"/>
  <c r="AI218" i="1" s="1"/>
  <c r="M52" i="9"/>
  <c r="M132" i="9" s="1"/>
  <c r="M324" i="1"/>
  <c r="M62" i="9" s="1"/>
  <c r="M236" i="1"/>
  <c r="M237" i="1"/>
  <c r="M238" i="1" s="1"/>
  <c r="AH119" i="9"/>
  <c r="AH80" i="9"/>
  <c r="AH69" i="9"/>
  <c r="F52" i="9"/>
  <c r="F132" i="9" s="1"/>
  <c r="F324" i="1"/>
  <c r="F62" i="9" s="1"/>
  <c r="AT52" i="9"/>
  <c r="AT132" i="9" s="1"/>
  <c r="AT324" i="1"/>
  <c r="AT62" i="9" s="1"/>
  <c r="AN108" i="9"/>
  <c r="AN389" i="1"/>
  <c r="AN235" i="1"/>
  <c r="AN323" i="1"/>
  <c r="AN61" i="9" s="1"/>
  <c r="AN394" i="1"/>
  <c r="AN329" i="1" s="1"/>
  <c r="AN63" i="9" s="1"/>
  <c r="S406" i="1"/>
  <c r="S418" i="1"/>
  <c r="S417" i="1"/>
  <c r="AM236" i="1"/>
  <c r="AM237" i="1"/>
  <c r="AN109" i="9"/>
  <c r="AM109" i="9"/>
  <c r="I551" i="1"/>
  <c r="AI105" i="9"/>
  <c r="AI106" i="9" s="1"/>
  <c r="AL105" i="9"/>
  <c r="AL106" i="9" s="1"/>
  <c r="AK105" i="9"/>
  <c r="AK106" i="9" s="1"/>
  <c r="T105" i="9"/>
  <c r="T106" i="9" s="1"/>
  <c r="V105" i="9"/>
  <c r="V106" i="9" s="1"/>
  <c r="AJ105" i="9"/>
  <c r="AJ106" i="9" s="1"/>
  <c r="AO105" i="9"/>
  <c r="AO106" i="9" s="1"/>
  <c r="AO107" i="9" s="1"/>
  <c r="AW157" i="1"/>
  <c r="AD17" i="1"/>
  <c r="AD29" i="9" s="1"/>
  <c r="AT31" i="1"/>
  <c r="AT21" i="9" s="1"/>
  <c r="AA165" i="1"/>
  <c r="AA169" i="1" s="1"/>
  <c r="AE163" i="1"/>
  <c r="AE98" i="1"/>
  <c r="AJ23" i="1"/>
  <c r="AJ18" i="9" s="1"/>
  <c r="AJ28" i="1"/>
  <c r="AJ32" i="1" s="1"/>
  <c r="AJ20" i="9" s="1"/>
  <c r="I202" i="1"/>
  <c r="AX56" i="1"/>
  <c r="AX71" i="1"/>
  <c r="AX55" i="1"/>
  <c r="AG19" i="1"/>
  <c r="AG31" i="9" s="1"/>
  <c r="Y52" i="9"/>
  <c r="Y132" i="9" s="1"/>
  <c r="Y324" i="1"/>
  <c r="Y62" i="9" s="1"/>
  <c r="Y236" i="1"/>
  <c r="Y237" i="1"/>
  <c r="T39" i="9"/>
  <c r="AB415" i="1"/>
  <c r="AB412" i="1"/>
  <c r="AB421" i="1" s="1"/>
  <c r="AB420" i="1"/>
  <c r="AH170" i="1"/>
  <c r="AR64" i="9"/>
  <c r="AR117" i="9"/>
  <c r="AR130" i="9"/>
  <c r="X236" i="1"/>
  <c r="T116" i="9"/>
  <c r="AB131" i="9"/>
  <c r="AB42" i="9"/>
  <c r="AB47" i="9" s="1"/>
  <c r="AK52" i="9"/>
  <c r="AK132" i="9" s="1"/>
  <c r="AK324" i="1"/>
  <c r="AK62" i="9" s="1"/>
  <c r="AK236" i="1"/>
  <c r="AK237" i="1"/>
  <c r="AK238" i="1" s="1"/>
  <c r="N406" i="1"/>
  <c r="N418" i="1"/>
  <c r="AH236" i="1"/>
  <c r="AH237" i="1"/>
  <c r="AH238" i="1" s="1"/>
  <c r="C395" i="1"/>
  <c r="C329" i="1"/>
  <c r="C63" i="9" s="1"/>
  <c r="W52" i="9"/>
  <c r="W132" i="9" s="1"/>
  <c r="W324" i="1"/>
  <c r="W62" i="9" s="1"/>
  <c r="G67" i="9"/>
  <c r="G447" i="1"/>
  <c r="G448" i="1" s="1"/>
  <c r="G449" i="1" s="1"/>
  <c r="G450" i="1" s="1"/>
  <c r="G431" i="1"/>
  <c r="AE726" i="1"/>
  <c r="AA361" i="1"/>
  <c r="AA365" i="1" s="1"/>
  <c r="P67" i="9"/>
  <c r="P447" i="1"/>
  <c r="P431" i="1"/>
  <c r="AF157" i="1"/>
  <c r="AE181" i="1"/>
  <c r="AE16" i="1" s="1"/>
  <c r="AI167" i="1"/>
  <c r="AI170" i="1"/>
  <c r="AI173" i="1" s="1"/>
  <c r="AI171" i="1"/>
  <c r="H22" i="1"/>
  <c r="H28" i="1"/>
  <c r="M23" i="1"/>
  <c r="M18" i="9" s="1"/>
  <c r="I22" i="1"/>
  <c r="X714" i="1"/>
  <c r="X195" i="1"/>
  <c r="X194" i="1"/>
  <c r="X202" i="1"/>
  <c r="AN19" i="1"/>
  <c r="AN31" i="9" s="1"/>
  <c r="AN17" i="1"/>
  <c r="AN29" i="9" s="1"/>
  <c r="AO26" i="1"/>
  <c r="AO19" i="9" s="1"/>
  <c r="AT26" i="1"/>
  <c r="AT19" i="9" s="1"/>
  <c r="M130" i="9"/>
  <c r="M64" i="9"/>
  <c r="AW170" i="1"/>
  <c r="V202" i="1"/>
  <c r="AS623" i="1"/>
  <c r="AN172" i="1"/>
  <c r="AN173" i="1" s="1"/>
  <c r="AM467" i="1"/>
  <c r="AO130" i="9"/>
  <c r="AO90" i="9"/>
  <c r="AO87" i="9" s="1"/>
  <c r="AO64" i="9"/>
  <c r="AO117" i="9"/>
  <c r="N417" i="1"/>
  <c r="AF131" i="9"/>
  <c r="AF42" i="9"/>
  <c r="AF47" i="9" s="1"/>
  <c r="U406" i="1"/>
  <c r="U417" i="1"/>
  <c r="U418" i="1"/>
  <c r="T367" i="1"/>
  <c r="T372" i="1" s="1"/>
  <c r="T354" i="1"/>
  <c r="T359" i="1" s="1"/>
  <c r="T395" i="1" s="1"/>
  <c r="T351" i="1"/>
  <c r="R236" i="1"/>
  <c r="R237" i="1"/>
  <c r="R238" i="1" s="1"/>
  <c r="AL406" i="1"/>
  <c r="AL418" i="1"/>
  <c r="AT80" i="9"/>
  <c r="AT119" i="9"/>
  <c r="AT91" i="9"/>
  <c r="AT88" i="9" s="1"/>
  <c r="AT69" i="9"/>
  <c r="AV624" i="1"/>
  <c r="G52" i="9"/>
  <c r="G132" i="9" s="1"/>
  <c r="G324" i="1"/>
  <c r="G62" i="9" s="1"/>
  <c r="AU52" i="9"/>
  <c r="AU132" i="9" s="1"/>
  <c r="AU324" i="1"/>
  <c r="AU62" i="9" s="1"/>
  <c r="AQ105" i="9"/>
  <c r="AQ106" i="9" s="1"/>
  <c r="K67" i="9"/>
  <c r="K447" i="1"/>
  <c r="K448" i="1" s="1"/>
  <c r="K449" i="1" s="1"/>
  <c r="K450" i="1" s="1"/>
  <c r="K431" i="1"/>
  <c r="D67" i="9"/>
  <c r="D447" i="1"/>
  <c r="D448" i="1" s="1"/>
  <c r="D449" i="1" s="1"/>
  <c r="D450" i="1" s="1"/>
  <c r="D431" i="1"/>
  <c r="AR67" i="9"/>
  <c r="AR447" i="1"/>
  <c r="AR448" i="1" s="1"/>
  <c r="AR449" i="1" s="1"/>
  <c r="AR450" i="1" s="1"/>
  <c r="AR431" i="1"/>
  <c r="D608" i="1"/>
  <c r="AB608" i="1"/>
  <c r="AL203" i="1"/>
  <c r="C608" i="1"/>
  <c r="AF608" i="1"/>
  <c r="Y203" i="1"/>
  <c r="AD608" i="1"/>
  <c r="AD715" i="1" s="1"/>
  <c r="BD106" i="1"/>
  <c r="AR608" i="1"/>
  <c r="AU102" i="9"/>
  <c r="AU112" i="9" s="1"/>
  <c r="AU113" i="9" s="1"/>
  <c r="AS102" i="9"/>
  <c r="AS112" i="9" s="1"/>
  <c r="AS113" i="9" s="1"/>
  <c r="AA714" i="1"/>
  <c r="AA196" i="1"/>
  <c r="AA195" i="1"/>
  <c r="AA197" i="1"/>
  <c r="AA201" i="1"/>
  <c r="AA203" i="1" s="1"/>
  <c r="AA200" i="1"/>
  <c r="AA199" i="1"/>
  <c r="AA198" i="1"/>
  <c r="AX83" i="1"/>
  <c r="AX91" i="1"/>
  <c r="AX84" i="1"/>
  <c r="AE147" i="1"/>
  <c r="AJ116" i="1"/>
  <c r="AF116" i="1"/>
  <c r="H13" i="1"/>
  <c r="K12" i="1"/>
  <c r="L714" i="1"/>
  <c r="L195" i="1"/>
  <c r="L194" i="1"/>
  <c r="L202" i="1"/>
  <c r="L203" i="1" s="1"/>
  <c r="AR19" i="1"/>
  <c r="AR31" i="9" s="1"/>
  <c r="AR17" i="1"/>
  <c r="AR29" i="9" s="1"/>
  <c r="AS25" i="1"/>
  <c r="AS26" i="1"/>
  <c r="AS19" i="9" s="1"/>
  <c r="AU25" i="1"/>
  <c r="AS131" i="9"/>
  <c r="AR169" i="1"/>
  <c r="AR173" i="1" s="1"/>
  <c r="AX111" i="1"/>
  <c r="AX104" i="1"/>
  <c r="AX103" i="1"/>
  <c r="AO714" i="1"/>
  <c r="AO196" i="1"/>
  <c r="AO195" i="1"/>
  <c r="AO200" i="1"/>
  <c r="AO199" i="1"/>
  <c r="AO197" i="1"/>
  <c r="AO198" i="1"/>
  <c r="AL117" i="9"/>
  <c r="AL130" i="9"/>
  <c r="AL64" i="9"/>
  <c r="AV415" i="1"/>
  <c r="AV412" i="1"/>
  <c r="AV421" i="1" s="1"/>
  <c r="AV420" i="1"/>
  <c r="AR172" i="1"/>
  <c r="AH14" i="1"/>
  <c r="AH13" i="1"/>
  <c r="AN131" i="9"/>
  <c r="P236" i="1"/>
  <c r="AU131" i="9"/>
  <c r="AU42" i="9"/>
  <c r="AU47" i="9" s="1"/>
  <c r="AL119" i="9"/>
  <c r="AL80" i="9"/>
  <c r="AL69" i="9"/>
  <c r="AL91" i="9"/>
  <c r="AL88" i="9" s="1"/>
  <c r="O215" i="1"/>
  <c r="O216" i="1"/>
  <c r="O218" i="1" s="1"/>
  <c r="I52" i="9"/>
  <c r="I132" i="9" s="1"/>
  <c r="I324" i="1"/>
  <c r="I62" i="9" s="1"/>
  <c r="AW52" i="9"/>
  <c r="AW132" i="9" s="1"/>
  <c r="AW324" i="1"/>
  <c r="AW62" i="9" s="1"/>
  <c r="AW236" i="1"/>
  <c r="AW237" i="1"/>
  <c r="AW238" i="1" s="1"/>
  <c r="AP52" i="9"/>
  <c r="AP132" i="9" s="1"/>
  <c r="AP324" i="1"/>
  <c r="AP62" i="9" s="1"/>
  <c r="AP109" i="9"/>
  <c r="K406" i="1"/>
  <c r="K418" i="1"/>
  <c r="K417" i="1"/>
  <c r="AE236" i="1"/>
  <c r="AE237" i="1"/>
  <c r="N119" i="9"/>
  <c r="N80" i="9"/>
  <c r="N69" i="9"/>
  <c r="Q91" i="9"/>
  <c r="Q88" i="9" s="1"/>
  <c r="N91" i="9"/>
  <c r="N88" i="9" s="1"/>
  <c r="O91" i="9"/>
  <c r="O88" i="9" s="1"/>
  <c r="AS361" i="1"/>
  <c r="AS365" i="1" s="1"/>
  <c r="AS608" i="1"/>
  <c r="AS715" i="1" s="1"/>
  <c r="AB67" i="9"/>
  <c r="AB447" i="1"/>
  <c r="AB448" i="1" s="1"/>
  <c r="AB449" i="1" s="1"/>
  <c r="AB450" i="1" s="1"/>
  <c r="AB431" i="1"/>
  <c r="Q714" i="1"/>
  <c r="Q201" i="1"/>
  <c r="Q203" i="1" s="1"/>
  <c r="Q195" i="1"/>
  <c r="Q194" i="1"/>
  <c r="AP31" i="1"/>
  <c r="AP21" i="9" s="1"/>
  <c r="BA180" i="1"/>
  <c r="BA129" i="1"/>
  <c r="BB126" i="1"/>
  <c r="L14" i="1"/>
  <c r="L13" i="1"/>
  <c r="P12" i="1"/>
  <c r="P14" i="1" s="1"/>
  <c r="P23" i="1"/>
  <c r="P18" i="9" s="1"/>
  <c r="P28" i="1"/>
  <c r="U23" i="1"/>
  <c r="U18" i="9" s="1"/>
  <c r="AF714" i="1"/>
  <c r="AF202" i="1"/>
  <c r="AF203" i="1" s="1"/>
  <c r="AF200" i="1"/>
  <c r="AF199" i="1"/>
  <c r="AF198" i="1"/>
  <c r="AF195" i="1"/>
  <c r="AF197" i="1"/>
  <c r="AV714" i="1"/>
  <c r="AV199" i="1"/>
  <c r="AV198" i="1"/>
  <c r="AV197" i="1"/>
  <c r="AV202" i="1"/>
  <c r="AV203" i="1" s="1"/>
  <c r="AV200" i="1"/>
  <c r="AT395" i="1"/>
  <c r="AT721" i="1"/>
  <c r="M14" i="1"/>
  <c r="M13" i="1"/>
  <c r="AC203" i="1"/>
  <c r="AW203" i="1"/>
  <c r="Y621" i="1"/>
  <c r="AG130" i="9"/>
  <c r="AG64" i="9"/>
  <c r="AG117" i="9"/>
  <c r="AD170" i="1"/>
  <c r="K131" i="9"/>
  <c r="K42" i="9"/>
  <c r="K47" i="9" s="1"/>
  <c r="D131" i="9"/>
  <c r="D42" i="9"/>
  <c r="D47" i="9" s="1"/>
  <c r="M406" i="1"/>
  <c r="M417" i="1"/>
  <c r="M418" i="1"/>
  <c r="F406" i="1"/>
  <c r="F418" i="1"/>
  <c r="Z236" i="1"/>
  <c r="Z237" i="1"/>
  <c r="Z238" i="1" s="1"/>
  <c r="AT406" i="1"/>
  <c r="AT418" i="1"/>
  <c r="AM52" i="9"/>
  <c r="AM132" i="9" s="1"/>
  <c r="AM324" i="1"/>
  <c r="AM62" i="9" s="1"/>
  <c r="V119" i="9"/>
  <c r="V91" i="9"/>
  <c r="V88" i="9" s="1"/>
  <c r="V80" i="9"/>
  <c r="V69" i="9"/>
  <c r="C67" i="9"/>
  <c r="C447" i="1"/>
  <c r="C431" i="1"/>
  <c r="AQ67" i="9"/>
  <c r="AQ447" i="1"/>
  <c r="AQ448" i="1" s="1"/>
  <c r="AQ449" i="1" s="1"/>
  <c r="AQ450" i="1" s="1"/>
  <c r="AQ431" i="1"/>
  <c r="AF67" i="9"/>
  <c r="AF447" i="1"/>
  <c r="AF448" i="1" s="1"/>
  <c r="AF449" i="1" s="1"/>
  <c r="AF450" i="1" s="1"/>
  <c r="AF431" i="1"/>
  <c r="G2" i="9"/>
  <c r="G5" i="11"/>
  <c r="H5" i="1"/>
  <c r="AD157" i="1"/>
  <c r="AL157" i="1"/>
  <c r="AA171" i="1"/>
  <c r="T22" i="1"/>
  <c r="T23" i="1"/>
  <c r="T18" i="9" s="1"/>
  <c r="T28" i="1"/>
  <c r="Y23" i="1"/>
  <c r="Y18" i="9" s="1"/>
  <c r="V22" i="1"/>
  <c r="AJ714" i="1"/>
  <c r="AJ195" i="1"/>
  <c r="AJ197" i="1"/>
  <c r="AJ202" i="1"/>
  <c r="AJ203" i="1" s="1"/>
  <c r="AJ200" i="1"/>
  <c r="AJ199" i="1"/>
  <c r="AJ198" i="1"/>
  <c r="AK25" i="1"/>
  <c r="AK26" i="1"/>
  <c r="AK19" i="9" s="1"/>
  <c r="AP26" i="1"/>
  <c r="AP19" i="9" s="1"/>
  <c r="W467" i="1"/>
  <c r="AP117" i="9"/>
  <c r="AP130" i="9"/>
  <c r="AP64" i="9"/>
  <c r="AF415" i="1"/>
  <c r="AF412" i="1"/>
  <c r="AF421" i="1" s="1"/>
  <c r="AF420" i="1"/>
  <c r="AX148" i="1"/>
  <c r="AX9" i="1" s="1"/>
  <c r="AS170" i="1"/>
  <c r="Q13" i="1"/>
  <c r="U12" i="1"/>
  <c r="U14" i="1" s="1"/>
  <c r="Q14" i="1"/>
  <c r="AG203" i="1"/>
  <c r="AX26" i="1"/>
  <c r="AX19" i="9" s="1"/>
  <c r="AX25" i="1"/>
  <c r="Y109" i="9"/>
  <c r="Y113" i="9" s="1"/>
  <c r="AU467" i="1"/>
  <c r="AW169" i="1"/>
  <c r="AW173" i="1" s="1"/>
  <c r="AM26" i="1"/>
  <c r="AM19" i="9" s="1"/>
  <c r="AM25" i="1"/>
  <c r="AR26" i="1"/>
  <c r="AR19" i="9" s="1"/>
  <c r="AN25" i="1"/>
  <c r="AM28" i="1"/>
  <c r="E131" i="9"/>
  <c r="E42" i="9"/>
  <c r="E47" i="9" s="1"/>
  <c r="T59" i="9"/>
  <c r="T720" i="1"/>
  <c r="X238" i="1"/>
  <c r="AN116" i="9"/>
  <c r="Z467" i="1"/>
  <c r="P415" i="1"/>
  <c r="P412" i="1"/>
  <c r="P421" i="1" s="1"/>
  <c r="P420" i="1"/>
  <c r="AJ238" i="1"/>
  <c r="AV131" i="9"/>
  <c r="AV42" i="9"/>
  <c r="AV47" i="9" s="1"/>
  <c r="AK406" i="1"/>
  <c r="AK418" i="1"/>
  <c r="AK417" i="1"/>
  <c r="AK109" i="9"/>
  <c r="AA621" i="1"/>
  <c r="AU621" i="1"/>
  <c r="AH52" i="9"/>
  <c r="AH132" i="9" s="1"/>
  <c r="AH324" i="1"/>
  <c r="AH62" i="9" s="1"/>
  <c r="AH109" i="9"/>
  <c r="AB624" i="1"/>
  <c r="W406" i="1"/>
  <c r="W417" i="1"/>
  <c r="W418" i="1"/>
  <c r="AQ236" i="1"/>
  <c r="AQ237" i="1"/>
  <c r="AQ238" i="1" s="1"/>
  <c r="AQ109" i="9"/>
  <c r="AR109" i="9"/>
  <c r="R69" i="9"/>
  <c r="R119" i="9"/>
  <c r="R80" i="9"/>
  <c r="R91" i="9"/>
  <c r="R88" i="9" s="1"/>
  <c r="W105" i="9"/>
  <c r="W106" i="9" s="1"/>
  <c r="K726" i="1"/>
  <c r="G361" i="1"/>
  <c r="G365" i="1" s="1"/>
  <c r="G608" i="1"/>
  <c r="G715" i="1" s="1"/>
  <c r="X105" i="9"/>
  <c r="X106" i="9" s="1"/>
  <c r="Y105" i="9"/>
  <c r="Y106" i="9" s="1"/>
  <c r="BA688" i="1"/>
  <c r="AZ694" i="1"/>
  <c r="P157" i="1"/>
  <c r="AN157" i="1"/>
  <c r="AI203" i="1"/>
  <c r="AV170" i="1"/>
  <c r="H714" i="1"/>
  <c r="H195" i="1"/>
  <c r="H194" i="1"/>
  <c r="H202" i="1"/>
  <c r="H203" i="1" s="1"/>
  <c r="X201" i="1"/>
  <c r="X203" i="1" s="1"/>
  <c r="AN201" i="1"/>
  <c r="AN203" i="1" s="1"/>
  <c r="AO202" i="1"/>
  <c r="AO203" i="1" s="1"/>
  <c r="AK467" i="1"/>
  <c r="V8" i="1"/>
  <c r="V12" i="1"/>
  <c r="AS192" i="1"/>
  <c r="AS201" i="1"/>
  <c r="AS181" i="1"/>
  <c r="AS16" i="1" s="1"/>
  <c r="AS21" i="1"/>
  <c r="AK203" i="1"/>
  <c r="Y623" i="1"/>
  <c r="X467" i="1"/>
  <c r="AQ64" i="9"/>
  <c r="AQ117" i="9"/>
  <c r="AQ130" i="9"/>
  <c r="J108" i="9"/>
  <c r="J323" i="1"/>
  <c r="J61" i="9" s="1"/>
  <c r="J394" i="1"/>
  <c r="J389" i="1"/>
  <c r="J235" i="1"/>
  <c r="J237" i="1" s="1"/>
  <c r="AM64" i="9"/>
  <c r="AM117" i="9"/>
  <c r="AM130" i="9"/>
  <c r="O108" i="9"/>
  <c r="O109" i="9" s="1"/>
  <c r="O113" i="9" s="1"/>
  <c r="O394" i="1"/>
  <c r="O329" i="1" s="1"/>
  <c r="O63" i="9" s="1"/>
  <c r="O389" i="1"/>
  <c r="O235" i="1"/>
  <c r="O323" i="1"/>
  <c r="O61" i="9" s="1"/>
  <c r="V117" i="9"/>
  <c r="V130" i="9"/>
  <c r="V64" i="9"/>
  <c r="E52" i="9"/>
  <c r="E132" i="9" s="1"/>
  <c r="E324" i="1"/>
  <c r="E62" i="9" s="1"/>
  <c r="E236" i="1"/>
  <c r="E237" i="1"/>
  <c r="AO52" i="9"/>
  <c r="AO132" i="9" s="1"/>
  <c r="AO324" i="1"/>
  <c r="AO62" i="9" s="1"/>
  <c r="AO236" i="1"/>
  <c r="AO237" i="1"/>
  <c r="AO238" i="1" s="1"/>
  <c r="R52" i="9"/>
  <c r="R132" i="9" s="1"/>
  <c r="R324" i="1"/>
  <c r="R62" i="9" s="1"/>
  <c r="G406" i="1"/>
  <c r="G418" i="1"/>
  <c r="G417" i="1"/>
  <c r="AA236" i="1"/>
  <c r="AA237" i="1"/>
  <c r="AA238" i="1" s="1"/>
  <c r="AC109" i="9"/>
  <c r="AC113" i="9" s="1"/>
  <c r="AA109" i="9"/>
  <c r="AA113" i="9" s="1"/>
  <c r="AB109" i="9"/>
  <c r="AB113" i="9" s="1"/>
  <c r="AU406" i="1"/>
  <c r="AU417" i="1"/>
  <c r="AU418" i="1"/>
  <c r="AT726" i="1"/>
  <c r="K361" i="1"/>
  <c r="K365" i="1" s="1"/>
  <c r="K608" i="1"/>
  <c r="AP715" i="1"/>
  <c r="AB105" i="9"/>
  <c r="AB106" i="9" s="1"/>
  <c r="AD105" i="9"/>
  <c r="AD106" i="9" s="1"/>
  <c r="AC105" i="9"/>
  <c r="AC106" i="9" s="1"/>
  <c r="AS51" i="9"/>
  <c r="AS330" i="1"/>
  <c r="L608" i="1"/>
  <c r="L715" i="1" s="1"/>
  <c r="W608" i="1"/>
  <c r="W715" i="1" s="1"/>
  <c r="J203" i="1"/>
  <c r="AJ608" i="1"/>
  <c r="AP717" i="1"/>
  <c r="AT103" i="9"/>
  <c r="AO103" i="9"/>
  <c r="Z107" i="9"/>
  <c r="AS130" i="9" l="1"/>
  <c r="AS90" i="9"/>
  <c r="AS87" i="9" s="1"/>
  <c r="AS64" i="9"/>
  <c r="R109" i="9"/>
  <c r="R113" i="9" s="1"/>
  <c r="J52" i="9"/>
  <c r="J132" i="9" s="1"/>
  <c r="J324" i="1"/>
  <c r="J62" i="9" s="1"/>
  <c r="L109" i="9"/>
  <c r="L113" i="9" s="1"/>
  <c r="J109" i="9"/>
  <c r="J113" i="9" s="1"/>
  <c r="AS22" i="1"/>
  <c r="AS23" i="1"/>
  <c r="AS18" i="9" s="1"/>
  <c r="AS28" i="1"/>
  <c r="AU22" i="1"/>
  <c r="V13" i="1"/>
  <c r="Z12" i="1"/>
  <c r="Z14" i="1" s="1"/>
  <c r="V14" i="1"/>
  <c r="W13" i="1"/>
  <c r="AA14" i="1"/>
  <c r="W716" i="1"/>
  <c r="W410" i="1"/>
  <c r="W710" i="1"/>
  <c r="W711" i="1"/>
  <c r="AB716" i="1"/>
  <c r="P53" i="9"/>
  <c r="P422" i="1"/>
  <c r="P54" i="9" s="1"/>
  <c r="P84" i="9" s="1"/>
  <c r="AM32" i="1"/>
  <c r="AM20" i="9" s="1"/>
  <c r="AM36" i="1"/>
  <c r="AM34" i="1" s="1"/>
  <c r="AM31" i="1" s="1"/>
  <c r="AM21" i="9" s="1"/>
  <c r="AM30" i="1"/>
  <c r="AX153" i="1"/>
  <c r="G3" i="11"/>
  <c r="G4" i="11"/>
  <c r="AF80" i="9"/>
  <c r="AG91" i="9"/>
  <c r="AG88" i="9" s="1"/>
  <c r="AF69" i="9"/>
  <c r="AK119" i="9"/>
  <c r="AF119" i="9"/>
  <c r="AF91" i="9"/>
  <c r="AF88" i="9" s="1"/>
  <c r="AQ80" i="9"/>
  <c r="AQ119" i="9"/>
  <c r="AQ91" i="9"/>
  <c r="AQ88" i="9" s="1"/>
  <c r="AQ69" i="9"/>
  <c r="V81" i="9"/>
  <c r="V83" i="9" s="1"/>
  <c r="V71" i="9"/>
  <c r="V78" i="9" s="1"/>
  <c r="V135" i="9" s="1"/>
  <c r="V120" i="9"/>
  <c r="K99" i="9"/>
  <c r="K100" i="9" s="1"/>
  <c r="K48" i="9"/>
  <c r="P32" i="1"/>
  <c r="P20" i="9" s="1"/>
  <c r="U32" i="1"/>
  <c r="U20" i="9" s="1"/>
  <c r="AF122" i="1"/>
  <c r="AF117" i="1"/>
  <c r="AY91" i="1"/>
  <c r="AX92" i="1"/>
  <c r="AX93" i="1"/>
  <c r="AX15" i="9" s="1"/>
  <c r="AX187" i="1"/>
  <c r="AR715" i="1"/>
  <c r="AF715" i="1"/>
  <c r="AK715" i="1"/>
  <c r="D715" i="1"/>
  <c r="E715" i="1"/>
  <c r="I715" i="1"/>
  <c r="U721" i="1"/>
  <c r="U716" i="1"/>
  <c r="U410" i="1"/>
  <c r="U711" i="1"/>
  <c r="U710" i="1"/>
  <c r="H30" i="1"/>
  <c r="M32" i="1"/>
  <c r="M20" i="9" s="1"/>
  <c r="P448" i="1"/>
  <c r="P449" i="1" s="1"/>
  <c r="P450" i="1" s="1"/>
  <c r="AE146" i="1"/>
  <c r="AJ96" i="1"/>
  <c r="AF96" i="1"/>
  <c r="AV90" i="9"/>
  <c r="AV87" i="9" s="1"/>
  <c r="AS173" i="1"/>
  <c r="AY8" i="9"/>
  <c r="AY713" i="1"/>
  <c r="AZ456" i="1"/>
  <c r="AM80" i="9"/>
  <c r="AM119" i="9"/>
  <c r="AM69" i="9"/>
  <c r="AM91" i="9"/>
  <c r="AM88" i="9" s="1"/>
  <c r="T237" i="1"/>
  <c r="Y238" i="1" s="1"/>
  <c r="T236" i="1"/>
  <c r="AP238" i="1"/>
  <c r="AA48" i="9"/>
  <c r="AA99" i="9"/>
  <c r="X53" i="9"/>
  <c r="X422" i="1"/>
  <c r="X54" i="9" s="1"/>
  <c r="X84" i="9" s="1"/>
  <c r="AZ26" i="1"/>
  <c r="AZ19" i="9" s="1"/>
  <c r="AZ25" i="1"/>
  <c r="E51" i="9"/>
  <c r="E467" i="1"/>
  <c r="E330" i="1"/>
  <c r="M99" i="9"/>
  <c r="M48" i="9"/>
  <c r="AK36" i="1"/>
  <c r="AK34" i="1" s="1"/>
  <c r="AK31" i="1" s="1"/>
  <c r="AK21" i="9" s="1"/>
  <c r="AK32" i="1"/>
  <c r="AK20" i="9" s="1"/>
  <c r="AK30" i="1"/>
  <c r="AP32" i="1"/>
  <c r="AP20" i="9" s="1"/>
  <c r="AA80" i="9"/>
  <c r="AA91" i="9"/>
  <c r="AA88" i="9" s="1"/>
  <c r="AA119" i="9"/>
  <c r="AA69" i="9"/>
  <c r="X109" i="9"/>
  <c r="X113" i="9" s="1"/>
  <c r="Q410" i="1"/>
  <c r="Q710" i="1"/>
  <c r="Q711" i="1"/>
  <c r="AG14" i="1"/>
  <c r="AE165" i="1"/>
  <c r="AE169" i="1"/>
  <c r="AP102" i="9"/>
  <c r="AP112" i="9" s="1"/>
  <c r="AP113" i="9" s="1"/>
  <c r="AN102" i="9"/>
  <c r="AN715" i="1"/>
  <c r="AW36" i="1"/>
  <c r="AW34" i="1" s="1"/>
  <c r="AW31" i="1" s="1"/>
  <c r="AW21" i="9" s="1"/>
  <c r="AW32" i="1"/>
  <c r="AW20" i="9" s="1"/>
  <c r="AW30" i="1"/>
  <c r="AC13" i="1"/>
  <c r="AC14" i="1"/>
  <c r="AE716" i="1"/>
  <c r="AE410" i="1"/>
  <c r="AE711" i="1"/>
  <c r="AE710" i="1"/>
  <c r="AJ716" i="1"/>
  <c r="P134" i="9"/>
  <c r="P99" i="9"/>
  <c r="P100" i="9" s="1"/>
  <c r="P48" i="9"/>
  <c r="AB32" i="1"/>
  <c r="AB20" i="9" s="1"/>
  <c r="AB30" i="1"/>
  <c r="AQ715" i="1"/>
  <c r="AE80" i="9"/>
  <c r="AE119" i="9"/>
  <c r="AE91" i="9"/>
  <c r="AE88" i="9" s="1"/>
  <c r="AE69" i="9"/>
  <c r="AO716" i="1"/>
  <c r="AO410" i="1"/>
  <c r="AO711" i="1"/>
  <c r="AO710" i="1"/>
  <c r="BB177" i="1"/>
  <c r="BB65" i="1"/>
  <c r="BC62" i="1"/>
  <c r="BD62" i="1" s="1"/>
  <c r="AM113" i="9"/>
  <c r="AJ91" i="9"/>
  <c r="AJ88" i="9" s="1"/>
  <c r="AO119" i="9"/>
  <c r="AJ119" i="9"/>
  <c r="AJ69" i="9"/>
  <c r="AJ80" i="9"/>
  <c r="AQ14" i="1"/>
  <c r="R14" i="1"/>
  <c r="R13" i="1"/>
  <c r="S13" i="1"/>
  <c r="W14" i="1"/>
  <c r="AE168" i="1"/>
  <c r="AK113" i="9"/>
  <c r="X48" i="9"/>
  <c r="X134" i="9"/>
  <c r="X99" i="9"/>
  <c r="AE99" i="9"/>
  <c r="AE100" i="9" s="1"/>
  <c r="AE48" i="9"/>
  <c r="AE134" i="9"/>
  <c r="AD395" i="1"/>
  <c r="AE721" i="1"/>
  <c r="H1" i="9"/>
  <c r="I4" i="1"/>
  <c r="H3" i="1"/>
  <c r="H792" i="1"/>
  <c r="AR102" i="9"/>
  <c r="AR112" i="9" s="1"/>
  <c r="AR113" i="9" s="1"/>
  <c r="S80" i="9"/>
  <c r="S119" i="9"/>
  <c r="S69" i="9"/>
  <c r="S91" i="9"/>
  <c r="S88" i="9" s="1"/>
  <c r="AW410" i="1"/>
  <c r="AW710" i="1"/>
  <c r="AW711" i="1"/>
  <c r="AI14" i="1"/>
  <c r="AI13" i="1"/>
  <c r="D237" i="1"/>
  <c r="D238" i="1" s="1"/>
  <c r="D236" i="1"/>
  <c r="BC136" i="1"/>
  <c r="BB191" i="1"/>
  <c r="BB138" i="1"/>
  <c r="BD136" i="1"/>
  <c r="BE86" i="1"/>
  <c r="BD178" i="1"/>
  <c r="BD89" i="1"/>
  <c r="F103" i="9"/>
  <c r="F107" i="9"/>
  <c r="AS17" i="1"/>
  <c r="AS29" i="9" s="1"/>
  <c r="AS19" i="1"/>
  <c r="AS31" i="9" s="1"/>
  <c r="R71" i="9"/>
  <c r="R78" i="9" s="1"/>
  <c r="R135" i="9" s="1"/>
  <c r="R81" i="9"/>
  <c r="R83" i="9" s="1"/>
  <c r="R120" i="9"/>
  <c r="T32" i="1"/>
  <c r="T20" i="9" s="1"/>
  <c r="T30" i="1"/>
  <c r="AT716" i="1"/>
  <c r="AT410" i="1"/>
  <c r="AT711" i="1"/>
  <c r="AT710" i="1"/>
  <c r="F716" i="1"/>
  <c r="F410" i="1"/>
  <c r="F711" i="1"/>
  <c r="F710" i="1"/>
  <c r="M716" i="1"/>
  <c r="M410" i="1"/>
  <c r="M134" i="9" s="1"/>
  <c r="M710" i="1"/>
  <c r="M711" i="1"/>
  <c r="AT51" i="9"/>
  <c r="AT467" i="1"/>
  <c r="AT330" i="1"/>
  <c r="AT468" i="1"/>
  <c r="BC126" i="1"/>
  <c r="BB180" i="1"/>
  <c r="BB129" i="1"/>
  <c r="AE238" i="1"/>
  <c r="K716" i="1"/>
  <c r="K410" i="1"/>
  <c r="K711" i="1"/>
  <c r="K710" i="1"/>
  <c r="P716" i="1"/>
  <c r="AU99" i="9"/>
  <c r="AU48" i="9"/>
  <c r="AX112" i="1"/>
  <c r="AX188" i="1"/>
  <c r="AX113" i="1"/>
  <c r="AX16" i="9" s="1"/>
  <c r="AY111" i="1"/>
  <c r="BD109" i="1"/>
  <c r="BD179" i="1"/>
  <c r="BE106" i="1"/>
  <c r="C715" i="1"/>
  <c r="C611" i="1"/>
  <c r="AT71" i="9"/>
  <c r="AT78" i="9" s="1"/>
  <c r="AT135" i="9" s="1"/>
  <c r="AT81" i="9"/>
  <c r="AT83" i="9" s="1"/>
  <c r="AT120" i="9"/>
  <c r="AF48" i="9"/>
  <c r="AF134" i="9"/>
  <c r="AF99" i="9"/>
  <c r="P80" i="9"/>
  <c r="P69" i="9"/>
  <c r="U119" i="9"/>
  <c r="P119" i="9"/>
  <c r="P91" i="9"/>
  <c r="P88" i="9" s="1"/>
  <c r="AE171" i="1"/>
  <c r="AN237" i="1"/>
  <c r="AN236" i="1"/>
  <c r="AH91" i="9"/>
  <c r="AH88" i="9" s="1"/>
  <c r="AV173" i="1"/>
  <c r="AV36" i="1"/>
  <c r="AV34" i="1" s="1"/>
  <c r="AV31" i="1" s="1"/>
  <c r="AV21" i="9" s="1"/>
  <c r="AV32" i="1"/>
  <c r="AV20" i="9" s="1"/>
  <c r="AV30" i="1"/>
  <c r="AF32" i="1"/>
  <c r="AF20" i="9" s="1"/>
  <c r="AF30" i="1"/>
  <c r="V203" i="1"/>
  <c r="AX156" i="1"/>
  <c r="T52" i="9"/>
  <c r="T132" i="9" s="1"/>
  <c r="T324" i="1"/>
  <c r="T62" i="9" s="1"/>
  <c r="AN218" i="1"/>
  <c r="AS218" i="1"/>
  <c r="AC410" i="1"/>
  <c r="AC711" i="1"/>
  <c r="AC710" i="1"/>
  <c r="L53" i="9"/>
  <c r="L422" i="1"/>
  <c r="L54" i="9" s="1"/>
  <c r="L84" i="9" s="1"/>
  <c r="E793" i="1"/>
  <c r="A486" i="1"/>
  <c r="A484" i="1"/>
  <c r="A3" i="1"/>
  <c r="A3" i="11" s="1"/>
  <c r="A485" i="1"/>
  <c r="A482" i="1"/>
  <c r="F792" i="1"/>
  <c r="F793" i="1"/>
  <c r="B805" i="1"/>
  <c r="A483" i="1"/>
  <c r="C791" i="1"/>
  <c r="A789" i="1" s="1"/>
  <c r="C792" i="1"/>
  <c r="E791" i="1"/>
  <c r="E789" i="1" s="1"/>
  <c r="C793" i="1"/>
  <c r="D791" i="1"/>
  <c r="D789" i="1" s="1"/>
  <c r="E792" i="1"/>
  <c r="D792" i="1"/>
  <c r="F791" i="1"/>
  <c r="F789" i="1" s="1"/>
  <c r="F485" i="1" s="1"/>
  <c r="D793" i="1"/>
  <c r="P715" i="1"/>
  <c r="O715" i="1"/>
  <c r="U715" i="1"/>
  <c r="Y715" i="1"/>
  <c r="AU238" i="1"/>
  <c r="AA410" i="1"/>
  <c r="AA711" i="1"/>
  <c r="AA710" i="1"/>
  <c r="AW90" i="9"/>
  <c r="AW87" i="9" s="1"/>
  <c r="V32" i="1"/>
  <c r="V20" i="9" s="1"/>
  <c r="V30" i="1"/>
  <c r="W30" i="1"/>
  <c r="W238" i="1"/>
  <c r="C410" i="1"/>
  <c r="C710" i="1"/>
  <c r="C711" i="1"/>
  <c r="Q109" i="9"/>
  <c r="Q113" i="9" s="1"/>
  <c r="AV238" i="1"/>
  <c r="J30" i="1"/>
  <c r="O32" i="1"/>
  <c r="O20" i="9" s="1"/>
  <c r="Z81" i="9"/>
  <c r="Z83" i="9" s="1"/>
  <c r="Z71" i="9"/>
  <c r="Z78" i="9" s="1"/>
  <c r="Z135" i="9" s="1"/>
  <c r="Z120" i="9"/>
  <c r="H716" i="1"/>
  <c r="H410" i="1"/>
  <c r="H710" i="1"/>
  <c r="H711" i="1"/>
  <c r="AL36" i="1"/>
  <c r="AL34" i="1" s="1"/>
  <c r="AL31" i="1" s="1"/>
  <c r="AL21" i="9" s="1"/>
  <c r="AL32" i="1"/>
  <c r="AL20" i="9" s="1"/>
  <c r="AL30" i="1"/>
  <c r="AQ32" i="1"/>
  <c r="AQ20" i="9" s="1"/>
  <c r="AQ31" i="1"/>
  <c r="AQ21" i="9" s="1"/>
  <c r="AC32" i="1"/>
  <c r="AC20" i="9" s="1"/>
  <c r="AC30" i="1"/>
  <c r="AH32" i="1"/>
  <c r="AH20" i="9" s="1"/>
  <c r="H80" i="9"/>
  <c r="H69" i="9"/>
  <c r="M119" i="9"/>
  <c r="K238" i="1"/>
  <c r="AF82" i="1"/>
  <c r="AF77" i="1"/>
  <c r="AS238" i="1"/>
  <c r="AF238" i="1"/>
  <c r="AR36" i="1"/>
  <c r="AR34" i="1" s="1"/>
  <c r="AR31" i="1" s="1"/>
  <c r="AR21" i="9" s="1"/>
  <c r="AR32" i="1"/>
  <c r="AR20" i="9" s="1"/>
  <c r="AR30" i="1"/>
  <c r="AX154" i="1"/>
  <c r="S715" i="1"/>
  <c r="T715" i="1"/>
  <c r="R715" i="1"/>
  <c r="X80" i="9"/>
  <c r="AC119" i="9"/>
  <c r="X119" i="9"/>
  <c r="X69" i="9"/>
  <c r="X91" i="9"/>
  <c r="X88" i="9" s="1"/>
  <c r="T218" i="1"/>
  <c r="Y218" i="1"/>
  <c r="AD238" i="1"/>
  <c r="Q32" i="1"/>
  <c r="Q20" i="9" s="1"/>
  <c r="Q30" i="1"/>
  <c r="R30" i="1"/>
  <c r="AL113" i="9"/>
  <c r="AP81" i="9"/>
  <c r="AP83" i="9" s="1"/>
  <c r="AP71" i="9"/>
  <c r="AP78" i="9" s="1"/>
  <c r="AP135" i="9" s="1"/>
  <c r="AP120" i="9"/>
  <c r="J81" i="9"/>
  <c r="J83" i="9" s="1"/>
  <c r="O120" i="9"/>
  <c r="J71" i="9"/>
  <c r="J78" i="9" s="1"/>
  <c r="J135" i="9" s="1"/>
  <c r="AA168" i="1"/>
  <c r="AI113" i="9"/>
  <c r="AM410" i="1"/>
  <c r="AM710" i="1"/>
  <c r="AM711" i="1"/>
  <c r="AE12" i="1"/>
  <c r="AE14" i="1" s="1"/>
  <c r="AD173" i="1"/>
  <c r="G793" i="1"/>
  <c r="AQ102" i="9"/>
  <c r="AQ112" i="9" s="1"/>
  <c r="AQ113" i="9" s="1"/>
  <c r="F81" i="9"/>
  <c r="F83" i="9" s="1"/>
  <c r="F71" i="9"/>
  <c r="F78" i="9" s="1"/>
  <c r="F135" i="9" s="1"/>
  <c r="F120" i="9"/>
  <c r="D52" i="9"/>
  <c r="D132" i="9" s="1"/>
  <c r="D324" i="1"/>
  <c r="D62" i="9" s="1"/>
  <c r="AD32" i="1"/>
  <c r="AD20" i="9" s="1"/>
  <c r="AD30" i="1"/>
  <c r="AI32" i="1"/>
  <c r="AI20" i="9" s="1"/>
  <c r="AM173" i="1"/>
  <c r="F484" i="1"/>
  <c r="F486" i="1" s="1"/>
  <c r="F4" i="9"/>
  <c r="AJ715" i="1"/>
  <c r="AO715" i="1"/>
  <c r="K715" i="1"/>
  <c r="J715" i="1"/>
  <c r="F715" i="1"/>
  <c r="O236" i="1"/>
  <c r="O237" i="1"/>
  <c r="O238" i="1" s="1"/>
  <c r="J329" i="1"/>
  <c r="J63" i="9" s="1"/>
  <c r="J395" i="1"/>
  <c r="AK410" i="1"/>
  <c r="AK711" i="1"/>
  <c r="AK710" i="1"/>
  <c r="E99" i="9"/>
  <c r="E100" i="9" s="1"/>
  <c r="E48" i="9"/>
  <c r="C448" i="1"/>
  <c r="C449" i="1" s="1"/>
  <c r="C450" i="1" s="1"/>
  <c r="M109" i="9"/>
  <c r="M113" i="9" s="1"/>
  <c r="D99" i="9"/>
  <c r="D100" i="9" s="1"/>
  <c r="D103" i="9" s="1"/>
  <c r="D48" i="9"/>
  <c r="Q715" i="1"/>
  <c r="N71" i="9"/>
  <c r="N78" i="9" s="1"/>
  <c r="N135" i="9" s="1"/>
  <c r="N81" i="9"/>
  <c r="N83" i="9" s="1"/>
  <c r="N120" i="9"/>
  <c r="AL81" i="9"/>
  <c r="AL83" i="9" s="1"/>
  <c r="AL71" i="9"/>
  <c r="AL78" i="9" s="1"/>
  <c r="AL135" i="9" s="1"/>
  <c r="AL120" i="9"/>
  <c r="D80" i="9"/>
  <c r="E119" i="9"/>
  <c r="D69" i="9"/>
  <c r="D91" i="9"/>
  <c r="D88" i="9" s="1"/>
  <c r="D119" i="9"/>
  <c r="K80" i="9"/>
  <c r="K91" i="9"/>
  <c r="K88" i="9" s="1"/>
  <c r="K119" i="9"/>
  <c r="K69" i="9"/>
  <c r="AL716" i="1"/>
  <c r="AL410" i="1"/>
  <c r="AL710" i="1"/>
  <c r="AL711" i="1"/>
  <c r="G69" i="9"/>
  <c r="G80" i="9"/>
  <c r="C51" i="9"/>
  <c r="C467" i="1"/>
  <c r="C330" i="1"/>
  <c r="N410" i="1"/>
  <c r="N710" i="1"/>
  <c r="N711" i="1"/>
  <c r="AB53" i="9"/>
  <c r="AB422" i="1"/>
  <c r="AB54" i="9" s="1"/>
  <c r="AB84" i="9" s="1"/>
  <c r="AM238" i="1"/>
  <c r="S410" i="1"/>
  <c r="S711" i="1"/>
  <c r="S710" i="1"/>
  <c r="AN52" i="9"/>
  <c r="AN132" i="9" s="1"/>
  <c r="AN324" i="1"/>
  <c r="AN62" i="9" s="1"/>
  <c r="I203" i="1"/>
  <c r="AX123" i="1"/>
  <c r="AX131" i="1"/>
  <c r="AX124" i="1"/>
  <c r="AJ134" i="9"/>
  <c r="AJ99" i="9"/>
  <c r="AJ100" i="9" s="1"/>
  <c r="AJ103" i="9" s="1"/>
  <c r="AJ48" i="9"/>
  <c r="O51" i="9"/>
  <c r="O330" i="1"/>
  <c r="L32" i="1"/>
  <c r="L20" i="9" s="1"/>
  <c r="L30" i="1"/>
  <c r="M30" i="1"/>
  <c r="X715" i="1"/>
  <c r="AC715" i="1"/>
  <c r="AM715" i="1"/>
  <c r="AL715" i="1"/>
  <c r="L134" i="9"/>
  <c r="L99" i="9"/>
  <c r="L48" i="9"/>
  <c r="AD13" i="1"/>
  <c r="AD14" i="1"/>
  <c r="X32" i="1"/>
  <c r="X20" i="9" s="1"/>
  <c r="X30" i="1"/>
  <c r="AL173" i="1"/>
  <c r="AQ716" i="1"/>
  <c r="AQ410" i="1"/>
  <c r="AQ710" i="1"/>
  <c r="AQ711" i="1"/>
  <c r="AV716" i="1"/>
  <c r="N109" i="9"/>
  <c r="N113" i="9" s="1"/>
  <c r="AG32" i="1"/>
  <c r="AG20" i="9" s="1"/>
  <c r="AG30" i="1"/>
  <c r="AH30" i="1"/>
  <c r="Z716" i="1"/>
  <c r="Z410" i="1"/>
  <c r="Z711" i="1"/>
  <c r="Z710" i="1"/>
  <c r="AG716" i="1"/>
  <c r="AG410" i="1"/>
  <c r="AG711" i="1"/>
  <c r="AG710" i="1"/>
  <c r="AM14" i="1"/>
  <c r="AM13" i="1"/>
  <c r="AV80" i="9"/>
  <c r="AW91" i="9"/>
  <c r="AW88" i="9" s="1"/>
  <c r="AV91" i="9"/>
  <c r="AV88" i="9" s="1"/>
  <c r="AV69" i="9"/>
  <c r="AV119" i="9"/>
  <c r="T81" i="9"/>
  <c r="T83" i="9" s="1"/>
  <c r="T120" i="9"/>
  <c r="T71" i="9"/>
  <c r="T78" i="9" s="1"/>
  <c r="T135" i="9" s="1"/>
  <c r="I51" i="9"/>
  <c r="I467" i="1"/>
  <c r="I330" i="1"/>
  <c r="BB689" i="1"/>
  <c r="BC455" i="1"/>
  <c r="BC689" i="1" s="1"/>
  <c r="BD689" i="1" s="1"/>
  <c r="AJ53" i="9"/>
  <c r="AJ422" i="1"/>
  <c r="AJ54" i="9" s="1"/>
  <c r="AJ84" i="9" s="1"/>
  <c r="AS236" i="1"/>
  <c r="AO36" i="1"/>
  <c r="AO34" i="1" s="1"/>
  <c r="AO31" i="1" s="1"/>
  <c r="AO21" i="9" s="1"/>
  <c r="AO32" i="1"/>
  <c r="AO20" i="9" s="1"/>
  <c r="AT32" i="1"/>
  <c r="AT20" i="9" s="1"/>
  <c r="Y13" i="1"/>
  <c r="Y14" i="1"/>
  <c r="AA13" i="1"/>
  <c r="Y32" i="1"/>
  <c r="Y20" i="9" s="1"/>
  <c r="Y30" i="1"/>
  <c r="AH173" i="1"/>
  <c r="AV715" i="1"/>
  <c r="AI236" i="1"/>
  <c r="AI237" i="1"/>
  <c r="AI238" i="1" s="1"/>
  <c r="AN36" i="1"/>
  <c r="AN34" i="1" s="1"/>
  <c r="AN31" i="1" s="1"/>
  <c r="AN21" i="9" s="1"/>
  <c r="AN32" i="1"/>
  <c r="AN20" i="9" s="1"/>
  <c r="AN30" i="1"/>
  <c r="AP30" i="1"/>
  <c r="AH410" i="1"/>
  <c r="AH710" i="1"/>
  <c r="AH711" i="1"/>
  <c r="L2" i="9"/>
  <c r="L5" i="11"/>
  <c r="M5" i="1"/>
  <c r="BD677" i="1"/>
  <c r="AH113" i="9"/>
  <c r="S109" i="9"/>
  <c r="S113" i="9" s="1"/>
  <c r="F51" i="9"/>
  <c r="F467" i="1"/>
  <c r="F330" i="1"/>
  <c r="G791" i="1"/>
  <c r="G789" i="1" s="1"/>
  <c r="G485" i="1" s="1"/>
  <c r="G784" i="1"/>
  <c r="G782" i="1" s="1"/>
  <c r="G779" i="1"/>
  <c r="G772" i="1"/>
  <c r="G786" i="1"/>
  <c r="G777" i="1"/>
  <c r="G775" i="1" s="1"/>
  <c r="G483" i="1" s="1"/>
  <c r="G770" i="1"/>
  <c r="G768" i="1" s="1"/>
  <c r="G482" i="1" s="1"/>
  <c r="AP410" i="1"/>
  <c r="AP711" i="1"/>
  <c r="AP710" i="1"/>
  <c r="D395" i="1"/>
  <c r="D329" i="1"/>
  <c r="D63" i="9" s="1"/>
  <c r="D406" i="1"/>
  <c r="C716" i="1" s="1"/>
  <c r="D418" i="1"/>
  <c r="D417" i="1"/>
  <c r="AX155" i="1"/>
  <c r="N550" i="1"/>
  <c r="M551" i="1"/>
  <c r="AU410" i="1"/>
  <c r="AU711" i="1"/>
  <c r="AU710" i="1"/>
  <c r="G716" i="1"/>
  <c r="G410" i="1"/>
  <c r="G710" i="1"/>
  <c r="G711" i="1"/>
  <c r="E238" i="1"/>
  <c r="O52" i="9"/>
  <c r="O132" i="9" s="1"/>
  <c r="O324" i="1"/>
  <c r="O62" i="9" s="1"/>
  <c r="AS714" i="1"/>
  <c r="AS198" i="1"/>
  <c r="AS200" i="1"/>
  <c r="AS197" i="1"/>
  <c r="AS199" i="1"/>
  <c r="AS202" i="1"/>
  <c r="AS203" i="1" s="1"/>
  <c r="BB688" i="1"/>
  <c r="BA694" i="1"/>
  <c r="AV134" i="9"/>
  <c r="AV99" i="9"/>
  <c r="AV48" i="9"/>
  <c r="AX8" i="1"/>
  <c r="AX12" i="1"/>
  <c r="AX11" i="1"/>
  <c r="AX27" i="9" s="1"/>
  <c r="AX10" i="1"/>
  <c r="AF53" i="9"/>
  <c r="AF422" i="1"/>
  <c r="AF54" i="9" s="1"/>
  <c r="AF84" i="9" s="1"/>
  <c r="H2" i="9"/>
  <c r="H5" i="11"/>
  <c r="I5" i="1"/>
  <c r="C69" i="9"/>
  <c r="C80" i="9"/>
  <c r="C91" i="9"/>
  <c r="C88" i="9" s="1"/>
  <c r="AB80" i="9"/>
  <c r="AB69" i="9"/>
  <c r="AG119" i="9"/>
  <c r="AC91" i="9"/>
  <c r="AC88" i="9" s="1"/>
  <c r="AB119" i="9"/>
  <c r="AB91" i="9"/>
  <c r="AB88" i="9" s="1"/>
  <c r="AV53" i="9"/>
  <c r="AV422" i="1"/>
  <c r="AV54" i="9" s="1"/>
  <c r="AV84" i="9" s="1"/>
  <c r="AB715" i="1"/>
  <c r="AG715" i="1"/>
  <c r="AR80" i="9"/>
  <c r="AR69" i="9"/>
  <c r="AR119" i="9"/>
  <c r="AW119" i="9"/>
  <c r="AR91" i="9"/>
  <c r="AR88" i="9" s="1"/>
  <c r="V715" i="1"/>
  <c r="T51" i="9"/>
  <c r="T330" i="1"/>
  <c r="AB134" i="9"/>
  <c r="AB99" i="9"/>
  <c r="AB48" i="9"/>
  <c r="T131" i="9"/>
  <c r="AX186" i="1"/>
  <c r="AY71" i="1"/>
  <c r="AX72" i="1"/>
  <c r="AX73" i="1"/>
  <c r="AX14" i="9" s="1"/>
  <c r="AA167" i="1"/>
  <c r="AA170" i="1"/>
  <c r="AA173" i="1" s="1"/>
  <c r="AA172" i="1"/>
  <c r="AH81" i="9"/>
  <c r="AH83" i="9" s="1"/>
  <c r="AH71" i="9"/>
  <c r="AH78" i="9" s="1"/>
  <c r="AH135" i="9" s="1"/>
  <c r="AH120" i="9"/>
  <c r="BC179" i="1"/>
  <c r="BC109" i="1"/>
  <c r="H715" i="1"/>
  <c r="M715" i="1"/>
  <c r="AS119" i="9"/>
  <c r="AS91" i="9"/>
  <c r="AS88" i="9" s="1"/>
  <c r="AS80" i="9"/>
  <c r="AS69" i="9"/>
  <c r="V410" i="1"/>
  <c r="V711" i="1"/>
  <c r="V710" i="1"/>
  <c r="AU715" i="1"/>
  <c r="AI715" i="1"/>
  <c r="AH715" i="1"/>
  <c r="C48" i="9"/>
  <c r="C134" i="9"/>
  <c r="C99" i="9"/>
  <c r="C100" i="9" s="1"/>
  <c r="W109" i="9"/>
  <c r="W113" i="9" s="1"/>
  <c r="AD69" i="9"/>
  <c r="AD80" i="9"/>
  <c r="AD119" i="9"/>
  <c r="AD91" i="9"/>
  <c r="AD88" i="9" s="1"/>
  <c r="I30" i="1"/>
  <c r="N32" i="1"/>
  <c r="N20" i="9" s="1"/>
  <c r="AE144" i="1"/>
  <c r="AJ48" i="1"/>
  <c r="AF48" i="1"/>
  <c r="AE43" i="1"/>
  <c r="W80" i="9"/>
  <c r="W69" i="9"/>
  <c r="W119" i="9"/>
  <c r="W91" i="9"/>
  <c r="W88" i="9" s="1"/>
  <c r="AT238" i="1"/>
  <c r="F238" i="1"/>
  <c r="AR99" i="9"/>
  <c r="AR134" i="9"/>
  <c r="AR48" i="9"/>
  <c r="AI395" i="1"/>
  <c r="AJ721" i="1"/>
  <c r="H51" i="9"/>
  <c r="H467" i="1"/>
  <c r="H330" i="1"/>
  <c r="V109" i="9"/>
  <c r="V113" i="9" s="1"/>
  <c r="AR238" i="1"/>
  <c r="J13" i="1"/>
  <c r="O14" i="1"/>
  <c r="AE448" i="1"/>
  <c r="AE449" i="1" s="1"/>
  <c r="AE450" i="1" s="1"/>
  <c r="Y119" i="9"/>
  <c r="Y91" i="9"/>
  <c r="Y88" i="9" s="1"/>
  <c r="Y80" i="9"/>
  <c r="Y69" i="9"/>
  <c r="AI80" i="9"/>
  <c r="AI69" i="9"/>
  <c r="AI91" i="9"/>
  <c r="AI88" i="9" s="1"/>
  <c r="AK91" i="9"/>
  <c r="AK88" i="9" s="1"/>
  <c r="AI119" i="9"/>
  <c r="G51" i="9"/>
  <c r="G467" i="1"/>
  <c r="G330" i="1"/>
  <c r="R716" i="1"/>
  <c r="R410" i="1"/>
  <c r="R711" i="1"/>
  <c r="R710" i="1"/>
  <c r="E716" i="1"/>
  <c r="E410" i="1"/>
  <c r="E711" i="1"/>
  <c r="E710" i="1"/>
  <c r="AI52" i="9"/>
  <c r="AI132" i="9" s="1"/>
  <c r="AI324" i="1"/>
  <c r="AI62" i="9" s="1"/>
  <c r="AU80" i="9"/>
  <c r="AU91" i="9"/>
  <c r="AU88" i="9" s="1"/>
  <c r="AU119" i="9"/>
  <c r="AU69" i="9"/>
  <c r="AP91" i="9"/>
  <c r="AP88" i="9" s="1"/>
  <c r="AR53" i="9"/>
  <c r="AR422" i="1"/>
  <c r="AR54" i="9" s="1"/>
  <c r="AR84" i="9" s="1"/>
  <c r="AU90" i="9"/>
  <c r="AU87" i="9" s="1"/>
  <c r="AB173" i="1"/>
  <c r="P2" i="9"/>
  <c r="P5" i="11"/>
  <c r="U5" i="1"/>
  <c r="Q5" i="1"/>
  <c r="L80" i="9"/>
  <c r="L119" i="9"/>
  <c r="L69" i="9"/>
  <c r="Q119" i="9"/>
  <c r="M91" i="9"/>
  <c r="M88" i="9" s="1"/>
  <c r="L91" i="9"/>
  <c r="L88" i="9" s="1"/>
  <c r="S238" i="1"/>
  <c r="AA32" i="1"/>
  <c r="AA20" i="9" s="1"/>
  <c r="AA30" i="1"/>
  <c r="AL14" i="1"/>
  <c r="N14" i="1"/>
  <c r="N13" i="1"/>
  <c r="S14" i="1"/>
  <c r="O13" i="1"/>
  <c r="G792" i="1"/>
  <c r="AN80" i="9"/>
  <c r="AN91" i="9"/>
  <c r="AN88" i="9" s="1"/>
  <c r="AN119" i="9"/>
  <c r="AN69" i="9"/>
  <c r="K51" i="9"/>
  <c r="K467" i="1"/>
  <c r="K330" i="1"/>
  <c r="V238" i="1"/>
  <c r="AN395" i="1"/>
  <c r="AO721" i="1"/>
  <c r="I410" i="1"/>
  <c r="I711" i="1"/>
  <c r="I710" i="1"/>
  <c r="P238" i="1"/>
  <c r="AB203" i="1"/>
  <c r="BA24" i="1"/>
  <c r="BE4" i="9"/>
  <c r="BG4" i="9"/>
  <c r="BE486" i="1"/>
  <c r="BG486" i="1"/>
  <c r="BB486" i="1"/>
  <c r="BF4" i="9"/>
  <c r="BA4" i="9"/>
  <c r="BC4" i="9"/>
  <c r="BA486" i="1"/>
  <c r="BC486" i="1"/>
  <c r="AX486" i="1"/>
  <c r="BB4" i="9"/>
  <c r="BD4" i="9"/>
  <c r="AY4" i="9"/>
  <c r="BD486" i="1"/>
  <c r="AY486" i="1"/>
  <c r="AX4" i="9"/>
  <c r="AZ4" i="9"/>
  <c r="B3" i="11"/>
  <c r="AZ486" i="1"/>
  <c r="BF486" i="1"/>
  <c r="AA715" i="1"/>
  <c r="BD126" i="1"/>
  <c r="C789" i="1" l="1"/>
  <c r="BD65" i="1"/>
  <c r="BE62" i="1"/>
  <c r="BD177" i="1"/>
  <c r="E485" i="1"/>
  <c r="E472" i="1" s="1"/>
  <c r="E4" i="9"/>
  <c r="BD180" i="1"/>
  <c r="BD129" i="1"/>
  <c r="BE126" i="1"/>
  <c r="AN51" i="9"/>
  <c r="AN330" i="1"/>
  <c r="K64" i="9"/>
  <c r="K117" i="9"/>
  <c r="K90" i="9"/>
  <c r="K87" i="9" s="1"/>
  <c r="K130" i="9"/>
  <c r="P117" i="9"/>
  <c r="Q2" i="9"/>
  <c r="Q5" i="11"/>
  <c r="R5" i="1"/>
  <c r="AF54" i="1"/>
  <c r="AF49" i="1"/>
  <c r="AD71" i="9"/>
  <c r="AD78" i="9" s="1"/>
  <c r="AD135" i="9" s="1"/>
  <c r="AD81" i="9"/>
  <c r="AD83" i="9" s="1"/>
  <c r="AD120" i="9"/>
  <c r="AS81" i="9"/>
  <c r="AS83" i="9" s="1"/>
  <c r="AS71" i="9"/>
  <c r="AS78" i="9" s="1"/>
  <c r="AS135" i="9" s="1"/>
  <c r="AS120" i="9"/>
  <c r="AY186" i="1"/>
  <c r="AY73" i="1"/>
  <c r="AY14" i="9" s="1"/>
  <c r="AB81" i="9"/>
  <c r="AB83" i="9" s="1"/>
  <c r="AB71" i="9"/>
  <c r="AB78" i="9" s="1"/>
  <c r="AB135" i="9" s="1"/>
  <c r="AB120" i="9"/>
  <c r="AG120" i="9"/>
  <c r="C81" i="9"/>
  <c r="C83" i="9" s="1"/>
  <c r="C71" i="9"/>
  <c r="C78" i="9" s="1"/>
  <c r="C135" i="9" s="1"/>
  <c r="G420" i="1"/>
  <c r="G415" i="1"/>
  <c r="G412" i="1"/>
  <c r="G421" i="1" s="1"/>
  <c r="G134" i="9"/>
  <c r="AU420" i="1"/>
  <c r="AU415" i="1"/>
  <c r="AU412" i="1"/>
  <c r="AU421" i="1" s="1"/>
  <c r="AP412" i="1"/>
  <c r="AP421" i="1" s="1"/>
  <c r="AP420" i="1"/>
  <c r="AP415" i="1"/>
  <c r="AP134" i="9"/>
  <c r="M2" i="9"/>
  <c r="M5" i="11"/>
  <c r="N5" i="1"/>
  <c r="AV81" i="9"/>
  <c r="AV83" i="9" s="1"/>
  <c r="AV71" i="9"/>
  <c r="AV78" i="9" s="1"/>
  <c r="AV135" i="9" s="1"/>
  <c r="AV120" i="9"/>
  <c r="G81" i="9"/>
  <c r="G83" i="9" s="1"/>
  <c r="G71" i="9"/>
  <c r="G78" i="9" s="1"/>
  <c r="G135" i="9" s="1"/>
  <c r="E103" i="9"/>
  <c r="E107" i="9"/>
  <c r="AK412" i="1"/>
  <c r="AK421" i="1" s="1"/>
  <c r="AK420" i="1"/>
  <c r="AK415" i="1"/>
  <c r="AK134" i="9"/>
  <c r="F125" i="9"/>
  <c r="F6" i="9"/>
  <c r="AM420" i="1"/>
  <c r="AM415" i="1"/>
  <c r="AM412" i="1"/>
  <c r="AM421" i="1" s="1"/>
  <c r="AM134" i="9"/>
  <c r="AF162" i="1"/>
  <c r="AJ77" i="1"/>
  <c r="H81" i="9"/>
  <c r="H83" i="9" s="1"/>
  <c r="H71" i="9"/>
  <c r="H78" i="9" s="1"/>
  <c r="H135" i="9" s="1"/>
  <c r="M120" i="9"/>
  <c r="H415" i="1"/>
  <c r="H412" i="1"/>
  <c r="H421" i="1" s="1"/>
  <c r="H420" i="1"/>
  <c r="H134" i="9"/>
  <c r="F472" i="1"/>
  <c r="P120" i="9"/>
  <c r="U120" i="9"/>
  <c r="P81" i="9"/>
  <c r="P83" i="9" s="1"/>
  <c r="P71" i="9"/>
  <c r="P78" i="9" s="1"/>
  <c r="P135" i="9" s="1"/>
  <c r="C718" i="1"/>
  <c r="C613" i="1"/>
  <c r="D610" i="1"/>
  <c r="D611" i="1" s="1"/>
  <c r="AU134" i="9"/>
  <c r="K420" i="1"/>
  <c r="K415" i="1"/>
  <c r="K412" i="1"/>
  <c r="K421" i="1" s="1"/>
  <c r="BB24" i="1"/>
  <c r="AW412" i="1"/>
  <c r="AW421" i="1" s="1"/>
  <c r="AW420" i="1"/>
  <c r="AW415" i="1"/>
  <c r="AW134" i="9"/>
  <c r="AO120" i="9"/>
  <c r="AJ81" i="9"/>
  <c r="AJ83" i="9" s="1"/>
  <c r="AJ120" i="9"/>
  <c r="AJ71" i="9"/>
  <c r="AJ78" i="9" s="1"/>
  <c r="AJ135" i="9" s="1"/>
  <c r="AE420" i="1"/>
  <c r="AE415" i="1"/>
  <c r="AE412" i="1"/>
  <c r="AE421" i="1" s="1"/>
  <c r="AE167" i="1"/>
  <c r="AE170" i="1"/>
  <c r="AE172" i="1"/>
  <c r="AA120" i="9"/>
  <c r="AA71" i="9"/>
  <c r="AA78" i="9" s="1"/>
  <c r="AA135" i="9" s="1"/>
  <c r="AA81" i="9"/>
  <c r="AA83" i="9" s="1"/>
  <c r="AZ8" i="9"/>
  <c r="AZ713" i="1"/>
  <c r="AZ454" i="1"/>
  <c r="AZ683" i="1" s="1"/>
  <c r="BA456" i="1"/>
  <c r="AY93" i="1"/>
  <c r="AY15" i="9" s="1"/>
  <c r="AY187" i="1"/>
  <c r="I412" i="1"/>
  <c r="I421" i="1" s="1"/>
  <c r="I420" i="1"/>
  <c r="I415" i="1"/>
  <c r="I134" i="9"/>
  <c r="AN81" i="9"/>
  <c r="AN83" i="9" s="1"/>
  <c r="AN71" i="9"/>
  <c r="AN78" i="9" s="1"/>
  <c r="AN135" i="9" s="1"/>
  <c r="AN120" i="9"/>
  <c r="L71" i="9"/>
  <c r="L78" i="9" s="1"/>
  <c r="L135" i="9" s="1"/>
  <c r="L120" i="9"/>
  <c r="Q120" i="9"/>
  <c r="L81" i="9"/>
  <c r="L83" i="9" s="1"/>
  <c r="U2" i="9"/>
  <c r="U5" i="11"/>
  <c r="Z5" i="1"/>
  <c r="V5" i="1"/>
  <c r="AU71" i="9"/>
  <c r="AU78" i="9" s="1"/>
  <c r="AU135" i="9" s="1"/>
  <c r="AU81" i="9"/>
  <c r="AU83" i="9" s="1"/>
  <c r="AU120" i="9"/>
  <c r="E412" i="1"/>
  <c r="E421" i="1" s="1"/>
  <c r="E420" i="1"/>
  <c r="E415" i="1"/>
  <c r="R412" i="1"/>
  <c r="R421" i="1" s="1"/>
  <c r="R420" i="1"/>
  <c r="R415" i="1"/>
  <c r="R134" i="9"/>
  <c r="G64" i="9"/>
  <c r="G130" i="9"/>
  <c r="L117" i="9"/>
  <c r="AI71" i="9"/>
  <c r="AI78" i="9" s="1"/>
  <c r="AI135" i="9" s="1"/>
  <c r="AI120" i="9"/>
  <c r="AI81" i="9"/>
  <c r="AI83" i="9" s="1"/>
  <c r="AI51" i="9"/>
  <c r="AI330" i="1"/>
  <c r="W81" i="9"/>
  <c r="W83" i="9" s="1"/>
  <c r="W71" i="9"/>
  <c r="W78" i="9" s="1"/>
  <c r="W135" i="9" s="1"/>
  <c r="W120" i="9"/>
  <c r="T90" i="9"/>
  <c r="T87" i="9" s="1"/>
  <c r="T64" i="9"/>
  <c r="T130" i="9"/>
  <c r="T117" i="9"/>
  <c r="Y117" i="9"/>
  <c r="X90" i="9"/>
  <c r="X87" i="9" s="1"/>
  <c r="W90" i="9"/>
  <c r="W87" i="9" s="1"/>
  <c r="V90" i="9"/>
  <c r="V87" i="9" s="1"/>
  <c r="I2" i="9"/>
  <c r="I5" i="11"/>
  <c r="J5" i="1"/>
  <c r="AX13" i="1"/>
  <c r="AX14" i="1"/>
  <c r="D51" i="9"/>
  <c r="D467" i="1"/>
  <c r="D330" i="1"/>
  <c r="AH412" i="1"/>
  <c r="AH421" i="1" s="1"/>
  <c r="AH420" i="1"/>
  <c r="AH415" i="1"/>
  <c r="AH134" i="9"/>
  <c r="AG412" i="1"/>
  <c r="AG421" i="1" s="1"/>
  <c r="AG420" i="1"/>
  <c r="AG415" i="1"/>
  <c r="AG134" i="9"/>
  <c r="Z412" i="1"/>
  <c r="Z421" i="1" s="1"/>
  <c r="Z420" i="1"/>
  <c r="Z415" i="1"/>
  <c r="Z134" i="9"/>
  <c r="K81" i="9"/>
  <c r="K83" i="9" s="1"/>
  <c r="K71" i="9"/>
  <c r="K78" i="9" s="1"/>
  <c r="K135" i="9" s="1"/>
  <c r="K120" i="9"/>
  <c r="E134" i="9"/>
  <c r="AJ82" i="1"/>
  <c r="AJ84" i="1" s="1"/>
  <c r="AF84" i="1"/>
  <c r="AF83" i="1"/>
  <c r="AG83" i="1"/>
  <c r="AA420" i="1"/>
  <c r="AA415" i="1"/>
  <c r="AA412" i="1"/>
  <c r="AA421" i="1" s="1"/>
  <c r="D485" i="1"/>
  <c r="D472" i="1" s="1"/>
  <c r="D4" i="9"/>
  <c r="BE178" i="1"/>
  <c r="BF86" i="1"/>
  <c r="BC191" i="1"/>
  <c r="BC138" i="1"/>
  <c r="AE103" i="9"/>
  <c r="AE107" i="9"/>
  <c r="AN112" i="9"/>
  <c r="AN113" i="9" s="1"/>
  <c r="Q412" i="1"/>
  <c r="Q421" i="1" s="1"/>
  <c r="Q420" i="1"/>
  <c r="Q415" i="1"/>
  <c r="Q134" i="9"/>
  <c r="E64" i="9"/>
  <c r="E130" i="9"/>
  <c r="E117" i="9"/>
  <c r="E90" i="9"/>
  <c r="E87" i="9" s="1"/>
  <c r="X133" i="9"/>
  <c r="X94" i="9"/>
  <c r="AM120" i="9"/>
  <c r="AM71" i="9"/>
  <c r="AM78" i="9" s="1"/>
  <c r="AM135" i="9" s="1"/>
  <c r="AM81" i="9"/>
  <c r="AM83" i="9" s="1"/>
  <c r="AF102" i="1"/>
  <c r="AF97" i="1"/>
  <c r="AF164" i="1"/>
  <c r="AJ117" i="1"/>
  <c r="AX157" i="1"/>
  <c r="AE148" i="1"/>
  <c r="AE153" i="1"/>
  <c r="C103" i="9"/>
  <c r="C107" i="9"/>
  <c r="V412" i="1"/>
  <c r="V421" i="1" s="1"/>
  <c r="V420" i="1"/>
  <c r="V415" i="1"/>
  <c r="V134" i="9"/>
  <c r="AW120" i="9"/>
  <c r="AR81" i="9"/>
  <c r="AR83" i="9" s="1"/>
  <c r="AR71" i="9"/>
  <c r="AR78" i="9" s="1"/>
  <c r="AR135" i="9" s="1"/>
  <c r="AR120" i="9"/>
  <c r="H3" i="11"/>
  <c r="H4" i="11"/>
  <c r="AF94" i="9"/>
  <c r="AF133" i="9"/>
  <c r="BE677" i="1"/>
  <c r="AJ133" i="9"/>
  <c r="AJ94" i="9"/>
  <c r="AJ95" i="9" s="1"/>
  <c r="AJ98" i="9" s="1"/>
  <c r="O64" i="9"/>
  <c r="O90" i="9"/>
  <c r="O87" i="9" s="1"/>
  <c r="O130" i="9"/>
  <c r="Q90" i="9"/>
  <c r="Q87" i="9" s="1"/>
  <c r="R90" i="9"/>
  <c r="R87" i="9" s="1"/>
  <c r="S90" i="9"/>
  <c r="S87" i="9" s="1"/>
  <c r="N412" i="1"/>
  <c r="N421" i="1" s="1"/>
  <c r="N420" i="1"/>
  <c r="N415" i="1"/>
  <c r="N134" i="9"/>
  <c r="C64" i="9"/>
  <c r="C90" i="9"/>
  <c r="C87" i="9" s="1"/>
  <c r="C130" i="9"/>
  <c r="D107" i="9"/>
  <c r="AC412" i="1"/>
  <c r="AC421" i="1" s="1"/>
  <c r="AC420" i="1"/>
  <c r="AC415" i="1"/>
  <c r="AC134" i="9"/>
  <c r="AN238" i="1"/>
  <c r="BE179" i="1"/>
  <c r="BF106" i="1"/>
  <c r="AY188" i="1"/>
  <c r="AY113" i="1"/>
  <c r="AY16" i="9" s="1"/>
  <c r="BC180" i="1"/>
  <c r="BC129" i="1"/>
  <c r="AT117" i="9"/>
  <c r="AT130" i="9"/>
  <c r="AT64" i="9"/>
  <c r="AT90" i="9"/>
  <c r="AT87" i="9" s="1"/>
  <c r="M412" i="1"/>
  <c r="M421" i="1" s="1"/>
  <c r="M420" i="1"/>
  <c r="M415" i="1"/>
  <c r="F412" i="1"/>
  <c r="F421" i="1" s="1"/>
  <c r="F420" i="1"/>
  <c r="F415" i="1"/>
  <c r="F134" i="9"/>
  <c r="AT412" i="1"/>
  <c r="AT421" i="1" s="1"/>
  <c r="AT420" i="1"/>
  <c r="AT415" i="1"/>
  <c r="AT134" i="9"/>
  <c r="BD191" i="1"/>
  <c r="BD138" i="1"/>
  <c r="BE136" i="1"/>
  <c r="S71" i="9"/>
  <c r="S78" i="9" s="1"/>
  <c r="S135" i="9" s="1"/>
  <c r="S120" i="9"/>
  <c r="S81" i="9"/>
  <c r="S83" i="9" s="1"/>
  <c r="I1" i="9"/>
  <c r="I766" i="1"/>
  <c r="I791" i="1" s="1"/>
  <c r="I789" i="1" s="1"/>
  <c r="I485" i="1" s="1"/>
  <c r="I3" i="1"/>
  <c r="J4" i="1"/>
  <c r="I792" i="1"/>
  <c r="AD51" i="9"/>
  <c r="AD330" i="1"/>
  <c r="BC177" i="1"/>
  <c r="BC65" i="1"/>
  <c r="AE120" i="9"/>
  <c r="AE81" i="9"/>
  <c r="AE83" i="9" s="1"/>
  <c r="AE71" i="9"/>
  <c r="AE78" i="9" s="1"/>
  <c r="AE135" i="9" s="1"/>
  <c r="AJ122" i="1"/>
  <c r="AJ124" i="1" s="1"/>
  <c r="AF124" i="1"/>
  <c r="AF123" i="1"/>
  <c r="AG123" i="1"/>
  <c r="K103" i="9"/>
  <c r="K107" i="9"/>
  <c r="AF71" i="9"/>
  <c r="AF78" i="9" s="1"/>
  <c r="AF135" i="9" s="1"/>
  <c r="AF120" i="9"/>
  <c r="AK120" i="9"/>
  <c r="AF81" i="9"/>
  <c r="AF83" i="9" s="1"/>
  <c r="P94" i="9"/>
  <c r="P95" i="9" s="1"/>
  <c r="P98" i="9" s="1"/>
  <c r="P133" i="9"/>
  <c r="W420" i="1"/>
  <c r="W415" i="1"/>
  <c r="W412" i="1"/>
  <c r="W421" i="1" s="1"/>
  <c r="W134" i="9"/>
  <c r="AS36" i="1"/>
  <c r="AS34" i="1" s="1"/>
  <c r="AS31" i="1" s="1"/>
  <c r="AS21" i="9" s="1"/>
  <c r="AS32" i="1"/>
  <c r="AS20" i="9" s="1"/>
  <c r="AS30" i="1"/>
  <c r="AU30" i="1"/>
  <c r="BA25" i="1"/>
  <c r="BA26" i="1"/>
  <c r="BA19" i="9" s="1"/>
  <c r="AR94" i="9"/>
  <c r="AR133" i="9"/>
  <c r="Y81" i="9"/>
  <c r="Y83" i="9" s="1"/>
  <c r="Y71" i="9"/>
  <c r="Y78" i="9" s="1"/>
  <c r="Y135" i="9" s="1"/>
  <c r="Y120" i="9"/>
  <c r="H64" i="9"/>
  <c r="H130" i="9"/>
  <c r="M117" i="9"/>
  <c r="AE143" i="1"/>
  <c r="AE152" i="1" s="1"/>
  <c r="AF46" i="1"/>
  <c r="AF60" i="1"/>
  <c r="AV133" i="9"/>
  <c r="AV94" i="9"/>
  <c r="BB694" i="1"/>
  <c r="BC688" i="1"/>
  <c r="O550" i="1"/>
  <c r="N551" i="1"/>
  <c r="D716" i="1"/>
  <c r="D410" i="1"/>
  <c r="D710" i="1"/>
  <c r="D711" i="1"/>
  <c r="G484" i="1"/>
  <c r="G486" i="1" s="1"/>
  <c r="G472" i="1" s="1"/>
  <c r="G473" i="1" s="1"/>
  <c r="G474" i="1" s="1"/>
  <c r="G4" i="9"/>
  <c r="G6" i="9" s="1"/>
  <c r="G11" i="9" s="1"/>
  <c r="F90" i="9"/>
  <c r="F87" i="9" s="1"/>
  <c r="F117" i="9"/>
  <c r="F64" i="9"/>
  <c r="F130" i="9"/>
  <c r="BD455" i="1"/>
  <c r="BE455" i="1" s="1"/>
  <c r="I130" i="9"/>
  <c r="I64" i="9"/>
  <c r="N117" i="9"/>
  <c r="AQ420" i="1"/>
  <c r="AQ415" i="1"/>
  <c r="AQ412" i="1"/>
  <c r="AQ421" i="1" s="1"/>
  <c r="AQ134" i="9"/>
  <c r="AX133" i="1"/>
  <c r="AX17" i="9" s="1"/>
  <c r="AY131" i="1"/>
  <c r="AX189" i="1"/>
  <c r="AX132" i="1"/>
  <c r="S420" i="1"/>
  <c r="S415" i="1"/>
  <c r="S412" i="1"/>
  <c r="S421" i="1" s="1"/>
  <c r="S134" i="9"/>
  <c r="AB94" i="9"/>
  <c r="AB133" i="9"/>
  <c r="AL412" i="1"/>
  <c r="AL421" i="1" s="1"/>
  <c r="AL420" i="1"/>
  <c r="AL415" i="1"/>
  <c r="AL134" i="9"/>
  <c r="D71" i="9"/>
  <c r="D78" i="9" s="1"/>
  <c r="D135" i="9" s="1"/>
  <c r="D120" i="9"/>
  <c r="E120" i="9"/>
  <c r="D81" i="9"/>
  <c r="D83" i="9" s="1"/>
  <c r="J51" i="9"/>
  <c r="O117" i="9" s="1"/>
  <c r="J330" i="1"/>
  <c r="AC120" i="9"/>
  <c r="X81" i="9"/>
  <c r="X83" i="9" s="1"/>
  <c r="X71" i="9"/>
  <c r="X78" i="9" s="1"/>
  <c r="X135" i="9" s="1"/>
  <c r="X120" i="9"/>
  <c r="C420" i="1"/>
  <c r="C415" i="1"/>
  <c r="C412" i="1"/>
  <c r="C421" i="1" s="1"/>
  <c r="C485" i="1"/>
  <c r="C472" i="1" s="1"/>
  <c r="C4" i="9"/>
  <c r="L94" i="9"/>
  <c r="L133" i="9"/>
  <c r="AJ107" i="9"/>
  <c r="H766" i="1"/>
  <c r="AO412" i="1"/>
  <c r="AO421" i="1" s="1"/>
  <c r="AO420" i="1"/>
  <c r="AO415" i="1"/>
  <c r="AO134" i="9"/>
  <c r="P103" i="9"/>
  <c r="P107" i="9"/>
  <c r="AE173" i="1"/>
  <c r="AA134" i="9"/>
  <c r="T238" i="1"/>
  <c r="AE155" i="1"/>
  <c r="U412" i="1"/>
  <c r="U421" i="1" s="1"/>
  <c r="U420" i="1"/>
  <c r="U415" i="1"/>
  <c r="U134" i="9"/>
  <c r="K134" i="9"/>
  <c r="AQ81" i="9"/>
  <c r="AQ83" i="9" s="1"/>
  <c r="AQ120" i="9"/>
  <c r="AQ71" i="9"/>
  <c r="AQ78" i="9" s="1"/>
  <c r="AQ135" i="9" s="1"/>
  <c r="U53" i="9" l="1"/>
  <c r="U422" i="1"/>
  <c r="U54" i="9" s="1"/>
  <c r="U84" i="9" s="1"/>
  <c r="C6" i="9"/>
  <c r="C125" i="9"/>
  <c r="P550" i="1"/>
  <c r="P551" i="1" s="1"/>
  <c r="Q550" i="1" s="1"/>
  <c r="O551" i="1"/>
  <c r="AD117" i="9"/>
  <c r="AD130" i="9"/>
  <c r="AD64" i="9"/>
  <c r="AD90" i="9"/>
  <c r="AD87" i="9" s="1"/>
  <c r="AH90" i="9"/>
  <c r="AH87" i="9" s="1"/>
  <c r="AF90" i="9"/>
  <c r="AF87" i="9" s="1"/>
  <c r="AG90" i="9"/>
  <c r="AG87" i="9" s="1"/>
  <c r="J1" i="9"/>
  <c r="J3" i="1"/>
  <c r="J766" i="1" s="1"/>
  <c r="K4" i="1"/>
  <c r="J792" i="1"/>
  <c r="AC53" i="9"/>
  <c r="AC422" i="1"/>
  <c r="AC54" i="9" s="1"/>
  <c r="AC84" i="9" s="1"/>
  <c r="AE9" i="1"/>
  <c r="AE151" i="1"/>
  <c r="AF181" i="1"/>
  <c r="AE156" i="1"/>
  <c r="AE154" i="1"/>
  <c r="AA53" i="9"/>
  <c r="AA422" i="1"/>
  <c r="AA54" i="9" s="1"/>
  <c r="AA84" i="9" s="1"/>
  <c r="Z53" i="9"/>
  <c r="Z422" i="1"/>
  <c r="Z54" i="9" s="1"/>
  <c r="Z84" i="9" s="1"/>
  <c r="AG53" i="9"/>
  <c r="AG422" i="1"/>
  <c r="AG54" i="9" s="1"/>
  <c r="AG84" i="9" s="1"/>
  <c r="AH53" i="9"/>
  <c r="AH422" i="1"/>
  <c r="AH54" i="9" s="1"/>
  <c r="AH84" i="9" s="1"/>
  <c r="I4" i="11"/>
  <c r="I3" i="11"/>
  <c r="AI64" i="9"/>
  <c r="AI117" i="9"/>
  <c r="AI130" i="9"/>
  <c r="AI90" i="9"/>
  <c r="AI87" i="9" s="1"/>
  <c r="AL90" i="9"/>
  <c r="AL87" i="9" s="1"/>
  <c r="AM90" i="9"/>
  <c r="AM87" i="9" s="1"/>
  <c r="AK90" i="9"/>
  <c r="AK87" i="9" s="1"/>
  <c r="R53" i="9"/>
  <c r="R422" i="1"/>
  <c r="R54" i="9" s="1"/>
  <c r="R84" i="9" s="1"/>
  <c r="BB26" i="1"/>
  <c r="BB19" i="9" s="1"/>
  <c r="BB25" i="1"/>
  <c r="F126" i="9"/>
  <c r="F11" i="9"/>
  <c r="AK53" i="9"/>
  <c r="AK422" i="1"/>
  <c r="AK54" i="9" s="1"/>
  <c r="AK84" i="9" s="1"/>
  <c r="AP53" i="9"/>
  <c r="AP422" i="1"/>
  <c r="AP54" i="9" s="1"/>
  <c r="AP84" i="9" s="1"/>
  <c r="AU53" i="9"/>
  <c r="AU422" i="1"/>
  <c r="AU54" i="9" s="1"/>
  <c r="AU84" i="9" s="1"/>
  <c r="G53" i="9"/>
  <c r="G422" i="1"/>
  <c r="G54" i="9" s="1"/>
  <c r="G84" i="9" s="1"/>
  <c r="C473" i="1"/>
  <c r="C478" i="1"/>
  <c r="AL53" i="9"/>
  <c r="AL422" i="1"/>
  <c r="AL54" i="9" s="1"/>
  <c r="AL84" i="9" s="1"/>
  <c r="S53" i="9"/>
  <c r="S422" i="1"/>
  <c r="S54" i="9" s="1"/>
  <c r="S84" i="9" s="1"/>
  <c r="AY189" i="1"/>
  <c r="AY133" i="1"/>
  <c r="AY17" i="9" s="1"/>
  <c r="D415" i="1"/>
  <c r="D412" i="1"/>
  <c r="D421" i="1" s="1"/>
  <c r="D420" i="1"/>
  <c r="D134" i="9"/>
  <c r="BC694" i="1"/>
  <c r="BD688" i="1"/>
  <c r="W53" i="9"/>
  <c r="W422" i="1"/>
  <c r="W54" i="9" s="1"/>
  <c r="W84" i="9" s="1"/>
  <c r="BD24" i="1"/>
  <c r="BD26" i="1" s="1"/>
  <c r="BD19" i="9" s="1"/>
  <c r="BF179" i="1"/>
  <c r="BG106" i="1"/>
  <c r="BG179" i="1" s="1"/>
  <c r="N53" i="9"/>
  <c r="N422" i="1"/>
  <c r="N54" i="9" s="1"/>
  <c r="N84" i="9" s="1"/>
  <c r="BC24" i="1"/>
  <c r="D125" i="9"/>
  <c r="D6" i="9"/>
  <c r="AX190" i="1"/>
  <c r="V2" i="9"/>
  <c r="V5" i="11"/>
  <c r="W5" i="1"/>
  <c r="I53" i="9"/>
  <c r="I422" i="1"/>
  <c r="I54" i="9" s="1"/>
  <c r="I84" i="9" s="1"/>
  <c r="AW53" i="9"/>
  <c r="AW422" i="1"/>
  <c r="AW54" i="9" s="1"/>
  <c r="AW84" i="9" s="1"/>
  <c r="R2" i="9"/>
  <c r="R5" i="11"/>
  <c r="S5" i="1"/>
  <c r="BF62" i="1"/>
  <c r="BE177" i="1"/>
  <c r="AO53" i="9"/>
  <c r="AO422" i="1"/>
  <c r="AO54" i="9" s="1"/>
  <c r="AO84" i="9" s="1"/>
  <c r="H784" i="1"/>
  <c r="H782" i="1" s="1"/>
  <c r="H779" i="1"/>
  <c r="H772" i="1"/>
  <c r="H786" i="1"/>
  <c r="H777" i="1"/>
  <c r="H775" i="1" s="1"/>
  <c r="H483" i="1" s="1"/>
  <c r="H770" i="1"/>
  <c r="H768" i="1" s="1"/>
  <c r="H482" i="1" s="1"/>
  <c r="H793" i="1"/>
  <c r="H791" i="1"/>
  <c r="H789" i="1" s="1"/>
  <c r="H485" i="1" s="1"/>
  <c r="AQ53" i="9"/>
  <c r="AQ422" i="1"/>
  <c r="AQ54" i="9" s="1"/>
  <c r="AQ84" i="9" s="1"/>
  <c r="AJ60" i="1"/>
  <c r="AF61" i="1"/>
  <c r="AF176" i="1"/>
  <c r="I786" i="1"/>
  <c r="I777" i="1"/>
  <c r="I775" i="1" s="1"/>
  <c r="I483" i="1" s="1"/>
  <c r="I770" i="1"/>
  <c r="I768" i="1" s="1"/>
  <c r="I482" i="1" s="1"/>
  <c r="I784" i="1"/>
  <c r="I782" i="1" s="1"/>
  <c r="I779" i="1"/>
  <c r="I772" i="1"/>
  <c r="M53" i="9"/>
  <c r="M422" i="1"/>
  <c r="M54" i="9" s="1"/>
  <c r="M84" i="9" s="1"/>
  <c r="BF677" i="1"/>
  <c r="V53" i="9"/>
  <c r="V422" i="1"/>
  <c r="V54" i="9" s="1"/>
  <c r="V84" i="9" s="1"/>
  <c r="AJ97" i="1"/>
  <c r="AF163" i="1"/>
  <c r="BG86" i="1"/>
  <c r="BG178" i="1" s="1"/>
  <c r="BF178" i="1"/>
  <c r="D478" i="1"/>
  <c r="D473" i="1"/>
  <c r="Z2" i="9"/>
  <c r="Z5" i="11"/>
  <c r="AE5" i="1"/>
  <c r="AA5" i="1"/>
  <c r="AE53" i="9"/>
  <c r="AE422" i="1"/>
  <c r="AE54" i="9" s="1"/>
  <c r="AE84" i="9" s="1"/>
  <c r="F473" i="1"/>
  <c r="F478" i="1"/>
  <c r="H53" i="9"/>
  <c r="H422" i="1"/>
  <c r="H54" i="9" s="1"/>
  <c r="H84" i="9" s="1"/>
  <c r="AJ162" i="1"/>
  <c r="AJ78" i="1"/>
  <c r="AM53" i="9"/>
  <c r="AM422" i="1"/>
  <c r="AM54" i="9" s="1"/>
  <c r="AM84" i="9" s="1"/>
  <c r="AJ49" i="1"/>
  <c r="AF161" i="1"/>
  <c r="E125" i="9"/>
  <c r="E6" i="9"/>
  <c r="C53" i="9"/>
  <c r="C422" i="1"/>
  <c r="C54" i="9" s="1"/>
  <c r="C84" i="9" s="1"/>
  <c r="J64" i="9"/>
  <c r="J130" i="9"/>
  <c r="J90" i="9"/>
  <c r="J87" i="9" s="1"/>
  <c r="M90" i="9"/>
  <c r="M87" i="9" s="1"/>
  <c r="N90" i="9"/>
  <c r="N87" i="9" s="1"/>
  <c r="L90" i="9"/>
  <c r="L87" i="9" s="1"/>
  <c r="BE689" i="1"/>
  <c r="BF455" i="1"/>
  <c r="AJ46" i="1"/>
  <c r="AJ160" i="1" s="1"/>
  <c r="AF160" i="1"/>
  <c r="I793" i="1"/>
  <c r="BF136" i="1"/>
  <c r="BE191" i="1"/>
  <c r="AT53" i="9"/>
  <c r="AT422" i="1"/>
  <c r="AT54" i="9" s="1"/>
  <c r="AT84" i="9" s="1"/>
  <c r="F53" i="9"/>
  <c r="F422" i="1"/>
  <c r="F54" i="9" s="1"/>
  <c r="AE157" i="1"/>
  <c r="AJ164" i="1"/>
  <c r="AJ118" i="1"/>
  <c r="AJ102" i="1"/>
  <c r="AJ104" i="1" s="1"/>
  <c r="AF104" i="1"/>
  <c r="AF103" i="1"/>
  <c r="AG103" i="1"/>
  <c r="Q53" i="9"/>
  <c r="Q422" i="1"/>
  <c r="Q54" i="9" s="1"/>
  <c r="Q84" i="9" s="1"/>
  <c r="D64" i="9"/>
  <c r="D130" i="9"/>
  <c r="D117" i="9"/>
  <c r="D90" i="9"/>
  <c r="D87" i="9" s="1"/>
  <c r="J2" i="9"/>
  <c r="J5" i="11"/>
  <c r="E53" i="9"/>
  <c r="E422" i="1"/>
  <c r="E54" i="9" s="1"/>
  <c r="E84" i="9" s="1"/>
  <c r="BA8" i="9"/>
  <c r="BA713" i="1"/>
  <c r="BB456" i="1"/>
  <c r="BA454" i="1"/>
  <c r="BA683" i="1" s="1"/>
  <c r="K53" i="9"/>
  <c r="K422" i="1"/>
  <c r="K54" i="9" s="1"/>
  <c r="K84" i="9" s="1"/>
  <c r="D718" i="1"/>
  <c r="D613" i="1"/>
  <c r="E610" i="1"/>
  <c r="E611" i="1" s="1"/>
  <c r="N2" i="9"/>
  <c r="N5" i="11"/>
  <c r="O5" i="1"/>
  <c r="AY190" i="1"/>
  <c r="AJ54" i="1"/>
  <c r="AJ56" i="1" s="1"/>
  <c r="AF56" i="1"/>
  <c r="AF55" i="1"/>
  <c r="AG55" i="1"/>
  <c r="AN130" i="9"/>
  <c r="AN64" i="9"/>
  <c r="AN90" i="9"/>
  <c r="AN87" i="9" s="1"/>
  <c r="AN117" i="9"/>
  <c r="AR90" i="9"/>
  <c r="AR87" i="9" s="1"/>
  <c r="AQ90" i="9"/>
  <c r="AQ87" i="9" s="1"/>
  <c r="AP90" i="9"/>
  <c r="AP87" i="9" s="1"/>
  <c r="AS117" i="9"/>
  <c r="BE180" i="1"/>
  <c r="BF126" i="1"/>
  <c r="E478" i="1"/>
  <c r="E476" i="1"/>
  <c r="E473" i="1"/>
  <c r="J786" i="1" l="1"/>
  <c r="J777" i="1"/>
  <c r="J775" i="1" s="1"/>
  <c r="J483" i="1" s="1"/>
  <c r="J770" i="1"/>
  <c r="J768" i="1" s="1"/>
  <c r="J482" i="1" s="1"/>
  <c r="J784" i="1"/>
  <c r="J782" i="1" s="1"/>
  <c r="J779" i="1"/>
  <c r="J772" i="1"/>
  <c r="J791" i="1"/>
  <c r="J789" i="1" s="1"/>
  <c r="J485" i="1" s="1"/>
  <c r="J793" i="1"/>
  <c r="AJ147" i="1"/>
  <c r="AJ120" i="1"/>
  <c r="AJ26" i="9" s="1"/>
  <c r="AO116" i="1"/>
  <c r="AK116" i="1"/>
  <c r="F94" i="9"/>
  <c r="F95" i="9" s="1"/>
  <c r="F98" i="9" s="1"/>
  <c r="F133" i="9"/>
  <c r="F118" i="9"/>
  <c r="BG136" i="1"/>
  <c r="BG191" i="1" s="1"/>
  <c r="BF191" i="1"/>
  <c r="E123" i="9"/>
  <c r="AF165" i="1"/>
  <c r="AJ145" i="1"/>
  <c r="AJ80" i="1"/>
  <c r="AJ24" i="9" s="1"/>
  <c r="AO76" i="1"/>
  <c r="AK76" i="1"/>
  <c r="AE118" i="9"/>
  <c r="AE133" i="9"/>
  <c r="AE94" i="9"/>
  <c r="AE95" i="9" s="1"/>
  <c r="AE98" i="9" s="1"/>
  <c r="AJ118" i="9"/>
  <c r="AE2" i="9"/>
  <c r="AE5" i="11"/>
  <c r="AJ5" i="1"/>
  <c r="AF5" i="1"/>
  <c r="V94" i="9"/>
  <c r="V133" i="9"/>
  <c r="V118" i="9"/>
  <c r="AO94" i="9"/>
  <c r="AO95" i="9" s="1"/>
  <c r="AO98" i="9" s="1"/>
  <c r="AO118" i="9"/>
  <c r="AO133" i="9"/>
  <c r="N133" i="9"/>
  <c r="N118" i="9"/>
  <c r="N94" i="9"/>
  <c r="W118" i="9"/>
  <c r="W94" i="9"/>
  <c r="W133" i="9"/>
  <c r="AB118" i="9"/>
  <c r="C476" i="1"/>
  <c r="AP118" i="9"/>
  <c r="AP133" i="9"/>
  <c r="AP94" i="9"/>
  <c r="AG118" i="9"/>
  <c r="AG133" i="9"/>
  <c r="AG94" i="9"/>
  <c r="AY192" i="1"/>
  <c r="AY21" i="1"/>
  <c r="BB8" i="9"/>
  <c r="BB713" i="1"/>
  <c r="BB454" i="1"/>
  <c r="BB683" i="1" s="1"/>
  <c r="BC456" i="1"/>
  <c r="E94" i="9"/>
  <c r="E95" i="9" s="1"/>
  <c r="E98" i="9" s="1"/>
  <c r="E133" i="9"/>
  <c r="BF689" i="1"/>
  <c r="BG455" i="1"/>
  <c r="BG689" i="1" s="1"/>
  <c r="AJ161" i="1"/>
  <c r="AJ50" i="1"/>
  <c r="F479" i="1"/>
  <c r="F474" i="1"/>
  <c r="AJ163" i="1"/>
  <c r="AJ98" i="1"/>
  <c r="I484" i="1"/>
  <c r="I486" i="1" s="1"/>
  <c r="I472" i="1" s="1"/>
  <c r="I473" i="1" s="1"/>
  <c r="I474" i="1" s="1"/>
  <c r="I4" i="9"/>
  <c r="I6" i="9" s="1"/>
  <c r="I11" i="9" s="1"/>
  <c r="AQ94" i="9"/>
  <c r="AQ133" i="9"/>
  <c r="AQ118" i="9"/>
  <c r="AV118" i="9"/>
  <c r="AW94" i="9"/>
  <c r="AW118" i="9"/>
  <c r="AW133" i="9"/>
  <c r="I94" i="9"/>
  <c r="I133" i="9"/>
  <c r="AX192" i="1"/>
  <c r="AX201" i="1"/>
  <c r="AX181" i="1"/>
  <c r="AX16" i="1" s="1"/>
  <c r="AX21" i="1"/>
  <c r="BC26" i="1"/>
  <c r="BC19" i="9" s="1"/>
  <c r="BC25" i="1"/>
  <c r="BE688" i="1"/>
  <c r="BD694" i="1"/>
  <c r="AL94" i="9"/>
  <c r="AL118" i="9"/>
  <c r="AL133" i="9"/>
  <c r="AU118" i="9"/>
  <c r="AU133" i="9"/>
  <c r="AU94" i="9"/>
  <c r="AK133" i="9"/>
  <c r="AK94" i="9"/>
  <c r="AK118" i="9"/>
  <c r="AH94" i="9"/>
  <c r="AH118" i="9"/>
  <c r="AH133" i="9"/>
  <c r="AA94" i="9"/>
  <c r="AA133" i="9"/>
  <c r="AA118" i="9"/>
  <c r="AF118" i="9"/>
  <c r="AJ181" i="1"/>
  <c r="AJ16" i="1" s="1"/>
  <c r="AJ19" i="1" s="1"/>
  <c r="AJ31" i="9" s="1"/>
  <c r="AF16" i="1"/>
  <c r="AC94" i="9"/>
  <c r="AC118" i="9"/>
  <c r="AC133" i="9"/>
  <c r="U133" i="9"/>
  <c r="U94" i="9"/>
  <c r="U95" i="9" s="1"/>
  <c r="U98" i="9" s="1"/>
  <c r="U118" i="9"/>
  <c r="BG126" i="1"/>
  <c r="BG180" i="1" s="1"/>
  <c r="BF180" i="1"/>
  <c r="O2" i="9"/>
  <c r="O5" i="11"/>
  <c r="E718" i="1"/>
  <c r="E613" i="1"/>
  <c r="F610" i="1"/>
  <c r="F611" i="1" s="1"/>
  <c r="K94" i="9"/>
  <c r="K95" i="9" s="1"/>
  <c r="K98" i="9" s="1"/>
  <c r="K133" i="9"/>
  <c r="K118" i="9"/>
  <c r="P118" i="9"/>
  <c r="J4" i="11"/>
  <c r="J3" i="11"/>
  <c r="Q94" i="9"/>
  <c r="Q118" i="9"/>
  <c r="Q133" i="9"/>
  <c r="AT118" i="9"/>
  <c r="AT133" i="9"/>
  <c r="AT94" i="9"/>
  <c r="AT95" i="9" s="1"/>
  <c r="AT98" i="9" s="1"/>
  <c r="AF168" i="1"/>
  <c r="C133" i="9"/>
  <c r="C94" i="9"/>
  <c r="C95" i="9" s="1"/>
  <c r="C98" i="9" s="1"/>
  <c r="F476" i="1"/>
  <c r="BG677" i="1"/>
  <c r="M94" i="9"/>
  <c r="M118" i="9"/>
  <c r="M133" i="9"/>
  <c r="H484" i="1"/>
  <c r="H486" i="1" s="1"/>
  <c r="H472" i="1" s="1"/>
  <c r="H473" i="1" s="1"/>
  <c r="H474" i="1" s="1"/>
  <c r="H4" i="9"/>
  <c r="H6" i="9" s="1"/>
  <c r="H11" i="9" s="1"/>
  <c r="BF177" i="1"/>
  <c r="BG62" i="1"/>
  <c r="BG177" i="1" s="1"/>
  <c r="W2" i="9"/>
  <c r="W5" i="11"/>
  <c r="X5" i="1"/>
  <c r="D11" i="9"/>
  <c r="D126" i="9"/>
  <c r="D53" i="9"/>
  <c r="E118" i="9" s="1"/>
  <c r="D422" i="1"/>
  <c r="S133" i="9"/>
  <c r="S118" i="9"/>
  <c r="S94" i="9"/>
  <c r="X118" i="9"/>
  <c r="F127" i="9"/>
  <c r="F124" i="9"/>
  <c r="R118" i="9"/>
  <c r="R94" i="9"/>
  <c r="R133" i="9"/>
  <c r="Z118" i="9"/>
  <c r="Z133" i="9"/>
  <c r="Z94" i="9"/>
  <c r="Z95" i="9" s="1"/>
  <c r="Z98" i="9" s="1"/>
  <c r="K1" i="9"/>
  <c r="K3" i="1"/>
  <c r="J641" i="1" s="1"/>
  <c r="L4" i="1"/>
  <c r="K792" i="1"/>
  <c r="K4" i="11"/>
  <c r="C11" i="9"/>
  <c r="C126" i="9"/>
  <c r="E474" i="1"/>
  <c r="E479" i="1"/>
  <c r="F84" i="9"/>
  <c r="F123" i="9"/>
  <c r="BE24" i="1"/>
  <c r="BE26" i="1" s="1"/>
  <c r="BE19" i="9" s="1"/>
  <c r="E126" i="9"/>
  <c r="E11" i="9"/>
  <c r="AM118" i="9"/>
  <c r="AM94" i="9"/>
  <c r="AM133" i="9"/>
  <c r="AR118" i="9"/>
  <c r="H133" i="9"/>
  <c r="H94" i="9"/>
  <c r="AA2" i="9"/>
  <c r="AA5" i="11"/>
  <c r="AB5" i="1"/>
  <c r="D479" i="1"/>
  <c r="D474" i="1"/>
  <c r="AJ61" i="1"/>
  <c r="AJ176" i="1"/>
  <c r="S2" i="9"/>
  <c r="S5" i="11"/>
  <c r="T5" i="1"/>
  <c r="C474" i="1"/>
  <c r="C479" i="1"/>
  <c r="G94" i="9"/>
  <c r="G133" i="9"/>
  <c r="L118" i="9"/>
  <c r="AE11" i="1"/>
  <c r="AE27" i="9" s="1"/>
  <c r="AE8" i="1"/>
  <c r="AJ7" i="1"/>
  <c r="AF7" i="1"/>
  <c r="J642" i="1"/>
  <c r="R550" i="1"/>
  <c r="Q551" i="1"/>
  <c r="C123" i="9"/>
  <c r="S550" i="1" l="1"/>
  <c r="R551" i="1"/>
  <c r="D477" i="1"/>
  <c r="D480" i="1"/>
  <c r="E124" i="9"/>
  <c r="E127" i="9"/>
  <c r="K766" i="1"/>
  <c r="F718" i="1"/>
  <c r="F613" i="1"/>
  <c r="K610" i="1"/>
  <c r="K611" i="1" s="1"/>
  <c r="G610" i="1"/>
  <c r="G611" i="1" s="1"/>
  <c r="AJ52" i="1"/>
  <c r="AJ23" i="9" s="1"/>
  <c r="AO48" i="1"/>
  <c r="AK48" i="1"/>
  <c r="AJ43" i="1"/>
  <c r="AJ144" i="1"/>
  <c r="BC8" i="9"/>
  <c r="BC713" i="1"/>
  <c r="BC454" i="1"/>
  <c r="BC683" i="1" s="1"/>
  <c r="BD683" i="1" s="1"/>
  <c r="AY28" i="1"/>
  <c r="AY32" i="1" s="1"/>
  <c r="AY20" i="9" s="1"/>
  <c r="AY23" i="1"/>
  <c r="AY18" i="9" s="1"/>
  <c r="AJ2" i="9"/>
  <c r="AJ5" i="11"/>
  <c r="AO5" i="1"/>
  <c r="AK5" i="1"/>
  <c r="AF167" i="1"/>
  <c r="AF172" i="1"/>
  <c r="AF170" i="1"/>
  <c r="C124" i="9"/>
  <c r="C127" i="9"/>
  <c r="D127" i="9"/>
  <c r="D124" i="9"/>
  <c r="AF19" i="1"/>
  <c r="AF31" i="9" s="1"/>
  <c r="AF17" i="1"/>
  <c r="AF29" i="9" s="1"/>
  <c r="AG17" i="1"/>
  <c r="AG29" i="9" s="1"/>
  <c r="AX714" i="1"/>
  <c r="AX379" i="1"/>
  <c r="AX202" i="1"/>
  <c r="AX203" i="1" s="1"/>
  <c r="AX199" i="1"/>
  <c r="AX198" i="1"/>
  <c r="AX197" i="1"/>
  <c r="AX200" i="1"/>
  <c r="AJ100" i="1"/>
  <c r="AJ25" i="9" s="1"/>
  <c r="AO96" i="1"/>
  <c r="AK96" i="1"/>
  <c r="AJ146" i="1"/>
  <c r="F477" i="1"/>
  <c r="F480" i="1"/>
  <c r="AJ165" i="1"/>
  <c r="AJ169" i="1"/>
  <c r="AY202" i="1"/>
  <c r="AY199" i="1"/>
  <c r="AY198" i="1"/>
  <c r="AY197" i="1"/>
  <c r="T2" i="9"/>
  <c r="T5" i="11"/>
  <c r="AB2" i="9"/>
  <c r="AB5" i="11"/>
  <c r="AC5" i="1"/>
  <c r="L1" i="9"/>
  <c r="L3" i="1"/>
  <c r="M4" i="1"/>
  <c r="L792" i="1"/>
  <c r="L4" i="11"/>
  <c r="D54" i="9"/>
  <c r="D476" i="1"/>
  <c r="X2" i="9"/>
  <c r="X5" i="11"/>
  <c r="Y5" i="1"/>
  <c r="AX23" i="1"/>
  <c r="AX18" i="9" s="1"/>
  <c r="AX22" i="1"/>
  <c r="AX28" i="1"/>
  <c r="AJ171" i="1"/>
  <c r="AY201" i="1"/>
  <c r="AY203" i="1" s="1"/>
  <c r="AY200" i="1"/>
  <c r="AF171" i="1"/>
  <c r="BF24" i="1"/>
  <c r="BF26" i="1" s="1"/>
  <c r="BF19" i="9" s="1"/>
  <c r="AF8" i="1"/>
  <c r="AF12" i="1"/>
  <c r="C477" i="1"/>
  <c r="C480" i="1"/>
  <c r="E477" i="1"/>
  <c r="E480" i="1"/>
  <c r="J399" i="1"/>
  <c r="I463" i="1"/>
  <c r="J640" i="1"/>
  <c r="G463" i="1"/>
  <c r="G640" i="1"/>
  <c r="H463" i="1"/>
  <c r="I640" i="1"/>
  <c r="H640" i="1"/>
  <c r="H461" i="1"/>
  <c r="G461" i="1"/>
  <c r="I639" i="1"/>
  <c r="H639" i="1"/>
  <c r="J639" i="1"/>
  <c r="G639" i="1"/>
  <c r="I461" i="1"/>
  <c r="J461" i="1"/>
  <c r="H465" i="1"/>
  <c r="I465" i="1"/>
  <c r="G465" i="1"/>
  <c r="G641" i="1"/>
  <c r="G642" i="1"/>
  <c r="H641" i="1"/>
  <c r="H642" i="1"/>
  <c r="K3" i="11"/>
  <c r="I641" i="1"/>
  <c r="I642" i="1"/>
  <c r="D118" i="9"/>
  <c r="D133" i="9"/>
  <c r="D94" i="9"/>
  <c r="D95" i="9" s="1"/>
  <c r="D98" i="9" s="1"/>
  <c r="BF688" i="1"/>
  <c r="BE694" i="1"/>
  <c r="AX17" i="1"/>
  <c r="AX29" i="9" s="1"/>
  <c r="AX19" i="1"/>
  <c r="AX31" i="9" s="1"/>
  <c r="AF2" i="9"/>
  <c r="AF5" i="11"/>
  <c r="AG5" i="1"/>
  <c r="AK82" i="1"/>
  <c r="AK77" i="1"/>
  <c r="AF169" i="1"/>
  <c r="AF173" i="1" s="1"/>
  <c r="BG24" i="1"/>
  <c r="BG26" i="1" s="1"/>
  <c r="BG19" i="9" s="1"/>
  <c r="AK117" i="1"/>
  <c r="AK122" i="1"/>
  <c r="J484" i="1"/>
  <c r="J486" i="1" s="1"/>
  <c r="J472" i="1" s="1"/>
  <c r="J473" i="1" s="1"/>
  <c r="J474" i="1" s="1"/>
  <c r="J4" i="9"/>
  <c r="J6" i="9" s="1"/>
  <c r="J11" i="9" s="1"/>
  <c r="AO82" i="1" l="1"/>
  <c r="AO84" i="1" s="1"/>
  <c r="AK84" i="1"/>
  <c r="AK83" i="1"/>
  <c r="AL83" i="1"/>
  <c r="AX32" i="1"/>
  <c r="AX20" i="9" s="1"/>
  <c r="AX30" i="1"/>
  <c r="M1" i="9"/>
  <c r="M766" i="1"/>
  <c r="M3" i="1"/>
  <c r="N4" i="1"/>
  <c r="M791" i="1"/>
  <c r="M789" i="1" s="1"/>
  <c r="M485" i="1" s="1"/>
  <c r="M792" i="1"/>
  <c r="M4" i="11"/>
  <c r="AC2" i="9"/>
  <c r="AC5" i="11"/>
  <c r="AD5" i="1"/>
  <c r="AJ167" i="1"/>
  <c r="AJ170" i="1"/>
  <c r="AJ168" i="1"/>
  <c r="AJ172" i="1"/>
  <c r="AK102" i="1"/>
  <c r="AK97" i="1"/>
  <c r="AX34" i="9"/>
  <c r="AX684" i="1"/>
  <c r="AX678" i="1"/>
  <c r="AX681" i="1"/>
  <c r="AX658" i="1"/>
  <c r="AX444" i="1"/>
  <c r="AX206" i="1"/>
  <c r="AY379" i="1"/>
  <c r="AO2" i="9"/>
  <c r="AO5" i="11"/>
  <c r="AT5" i="1"/>
  <c r="AP5" i="1"/>
  <c r="AJ153" i="1"/>
  <c r="AJ148" i="1"/>
  <c r="K784" i="1"/>
  <c r="K782" i="1" s="1"/>
  <c r="K779" i="1"/>
  <c r="K772" i="1"/>
  <c r="K786" i="1"/>
  <c r="K777" i="1"/>
  <c r="K775" i="1" s="1"/>
  <c r="K483" i="1" s="1"/>
  <c r="K770" i="1"/>
  <c r="K768" i="1" s="1"/>
  <c r="K482" i="1" s="1"/>
  <c r="K793" i="1"/>
  <c r="K791" i="1"/>
  <c r="K789" i="1" s="1"/>
  <c r="K485" i="1" s="1"/>
  <c r="AG2" i="9"/>
  <c r="AG5" i="11"/>
  <c r="AH5" i="1"/>
  <c r="J462" i="1"/>
  <c r="J40" i="9"/>
  <c r="J42" i="9" s="1"/>
  <c r="J47" i="9" s="1"/>
  <c r="J402" i="1"/>
  <c r="L3" i="11"/>
  <c r="BD454" i="1"/>
  <c r="BD456" i="1"/>
  <c r="AJ45" i="1"/>
  <c r="AJ143" i="1"/>
  <c r="AJ152" i="1" s="1"/>
  <c r="AK60" i="1"/>
  <c r="AK46" i="1"/>
  <c r="AK124" i="1"/>
  <c r="AK123" i="1"/>
  <c r="AO122" i="1"/>
  <c r="AO124" i="1" s="1"/>
  <c r="AL123" i="1"/>
  <c r="BF694" i="1"/>
  <c r="BG688" i="1"/>
  <c r="BG694" i="1" s="1"/>
  <c r="AF14" i="1"/>
  <c r="AF13" i="1"/>
  <c r="AJ12" i="1"/>
  <c r="AJ14" i="1" s="1"/>
  <c r="AG13" i="1"/>
  <c r="Y2" i="9"/>
  <c r="Y5" i="11"/>
  <c r="D84" i="9"/>
  <c r="D123" i="9"/>
  <c r="L766" i="1"/>
  <c r="AK54" i="1"/>
  <c r="AK49" i="1"/>
  <c r="G718" i="1"/>
  <c r="G613" i="1"/>
  <c r="H610" i="1"/>
  <c r="H611" i="1" s="1"/>
  <c r="T550" i="1"/>
  <c r="S551" i="1"/>
  <c r="AK164" i="1"/>
  <c r="AO117" i="1"/>
  <c r="AK162" i="1"/>
  <c r="AO77" i="1"/>
  <c r="AJ173" i="1"/>
  <c r="AJ155" i="1"/>
  <c r="AK2" i="9"/>
  <c r="AK5" i="11"/>
  <c r="AL5" i="1"/>
  <c r="K718" i="1"/>
  <c r="K613" i="1"/>
  <c r="P610" i="1"/>
  <c r="P611" i="1" s="1"/>
  <c r="L610" i="1"/>
  <c r="L611" i="1" s="1"/>
  <c r="M179" i="10"/>
  <c r="M183" i="10"/>
  <c r="M191" i="10"/>
  <c r="M193" i="10"/>
  <c r="M196" i="10"/>
  <c r="M203" i="10"/>
  <c r="M178" i="10"/>
  <c r="M182" i="10"/>
  <c r="M185" i="10"/>
  <c r="M188" i="10"/>
  <c r="M190" i="10"/>
  <c r="M202" i="10"/>
  <c r="M181" i="10"/>
  <c r="M187" i="10"/>
  <c r="M192" i="10"/>
  <c r="M195" i="10"/>
  <c r="M197" i="10"/>
  <c r="M204" i="10"/>
  <c r="M211" i="10"/>
  <c r="M180" i="10"/>
  <c r="M184" i="10"/>
  <c r="M186" i="10"/>
  <c r="M189" i="10"/>
  <c r="M194" i="10"/>
  <c r="P194" i="10" l="1"/>
  <c r="O194" i="10"/>
  <c r="P189" i="10"/>
  <c r="O189" i="10"/>
  <c r="P186" i="10"/>
  <c r="O186" i="10"/>
  <c r="P184" i="10"/>
  <c r="O184" i="10"/>
  <c r="P180" i="10"/>
  <c r="O180" i="10"/>
  <c r="O211" i="10"/>
  <c r="P211" i="10"/>
  <c r="O204" i="10"/>
  <c r="P204" i="10"/>
  <c r="O197" i="10"/>
  <c r="P197" i="10"/>
  <c r="O195" i="10"/>
  <c r="P195" i="10"/>
  <c r="O192" i="10"/>
  <c r="P192" i="10"/>
  <c r="O187" i="10"/>
  <c r="P187" i="10"/>
  <c r="O181" i="10"/>
  <c r="P181" i="10"/>
  <c r="P202" i="10"/>
  <c r="O202" i="10"/>
  <c r="P190" i="10"/>
  <c r="O190" i="10"/>
  <c r="P188" i="10"/>
  <c r="O188" i="10"/>
  <c r="P185" i="10"/>
  <c r="O185" i="10"/>
  <c r="P182" i="10"/>
  <c r="O182" i="10"/>
  <c r="P178" i="10"/>
  <c r="O178" i="10"/>
  <c r="P203" i="10"/>
  <c r="O203" i="10"/>
  <c r="P196" i="10"/>
  <c r="O196" i="10"/>
  <c r="P193" i="10"/>
  <c r="O193" i="10"/>
  <c r="P191" i="10"/>
  <c r="O191" i="10"/>
  <c r="P183" i="10"/>
  <c r="O183" i="10"/>
  <c r="P179" i="10"/>
  <c r="O179" i="10"/>
  <c r="L718" i="1"/>
  <c r="L613" i="1"/>
  <c r="M610" i="1"/>
  <c r="M611" i="1" s="1"/>
  <c r="AO164" i="1"/>
  <c r="AO118" i="1"/>
  <c r="H718" i="1"/>
  <c r="H613" i="1"/>
  <c r="I610" i="1"/>
  <c r="I611" i="1" s="1"/>
  <c r="AO54" i="1"/>
  <c r="AO56" i="1" s="1"/>
  <c r="AK56" i="1"/>
  <c r="AK55" i="1"/>
  <c r="AL55" i="1"/>
  <c r="AK61" i="1"/>
  <c r="AK176" i="1"/>
  <c r="AO60" i="1"/>
  <c r="J463" i="1"/>
  <c r="J464" i="1"/>
  <c r="AJ9" i="1"/>
  <c r="AJ151" i="1"/>
  <c r="AK181" i="1"/>
  <c r="AJ154" i="1"/>
  <c r="AJ156" i="1"/>
  <c r="AY206" i="1"/>
  <c r="AX220" i="1"/>
  <c r="AX230" i="1"/>
  <c r="AX225" i="1"/>
  <c r="AX209" i="1"/>
  <c r="AY209" i="1" s="1"/>
  <c r="AY211" i="1" s="1"/>
  <c r="AY212" i="1" s="1"/>
  <c r="AY678" i="1"/>
  <c r="AX571" i="1"/>
  <c r="AY571" i="1" s="1"/>
  <c r="AX685" i="1"/>
  <c r="AO102" i="1"/>
  <c r="AO104" i="1" s="1"/>
  <c r="AK104" i="1"/>
  <c r="AK103" i="1"/>
  <c r="AL103" i="1"/>
  <c r="N1" i="9"/>
  <c r="N766" i="1"/>
  <c r="N791" i="1" s="1"/>
  <c r="N789" i="1" s="1"/>
  <c r="N485" i="1" s="1"/>
  <c r="N3" i="1"/>
  <c r="O4" i="1"/>
  <c r="N792" i="1"/>
  <c r="N793" i="1"/>
  <c r="N4" i="11"/>
  <c r="P718" i="1"/>
  <c r="P613" i="1"/>
  <c r="U610" i="1"/>
  <c r="U611" i="1" s="1"/>
  <c r="Q610" i="1"/>
  <c r="Q611" i="1" s="1"/>
  <c r="AL2" i="9"/>
  <c r="AL5" i="11"/>
  <c r="AM5" i="1"/>
  <c r="AH2" i="9"/>
  <c r="AH5" i="11"/>
  <c r="AI5" i="1"/>
  <c r="AJ157" i="1"/>
  <c r="AX393" i="1"/>
  <c r="AY444" i="1"/>
  <c r="AY445" i="1" s="1"/>
  <c r="AY684" i="1"/>
  <c r="AY619" i="1" s="1"/>
  <c r="AY624" i="1" s="1"/>
  <c r="AX573" i="1"/>
  <c r="AY573" i="1" s="1"/>
  <c r="AD2" i="9"/>
  <c r="AD5" i="11"/>
  <c r="M3" i="11"/>
  <c r="AO162" i="1"/>
  <c r="AO78" i="1"/>
  <c r="L784" i="1"/>
  <c r="L782" i="1" s="1"/>
  <c r="L779" i="1"/>
  <c r="L772" i="1"/>
  <c r="L786" i="1"/>
  <c r="L777" i="1"/>
  <c r="L775" i="1" s="1"/>
  <c r="L483" i="1" s="1"/>
  <c r="L770" i="1"/>
  <c r="L768" i="1" s="1"/>
  <c r="L482" i="1" s="1"/>
  <c r="L791" i="1"/>
  <c r="L789" i="1" s="1"/>
  <c r="L485" i="1" s="1"/>
  <c r="L793" i="1"/>
  <c r="J406" i="1"/>
  <c r="J417" i="1"/>
  <c r="J418" i="1"/>
  <c r="AP2" i="9"/>
  <c r="AP5" i="11"/>
  <c r="AQ5" i="1"/>
  <c r="AY658" i="1"/>
  <c r="AX570" i="1"/>
  <c r="M786" i="1"/>
  <c r="M777" i="1"/>
  <c r="M775" i="1" s="1"/>
  <c r="M483" i="1" s="1"/>
  <c r="M770" i="1"/>
  <c r="M768" i="1" s="1"/>
  <c r="M482" i="1" s="1"/>
  <c r="M784" i="1"/>
  <c r="M782" i="1" s="1"/>
  <c r="M779" i="1"/>
  <c r="M772" i="1"/>
  <c r="U550" i="1"/>
  <c r="U551" i="1" s="1"/>
  <c r="V550" i="1" s="1"/>
  <c r="T551" i="1"/>
  <c r="AO49" i="1"/>
  <c r="AK161" i="1"/>
  <c r="AO46" i="1"/>
  <c r="AO160" i="1" s="1"/>
  <c r="AK160" i="1"/>
  <c r="BD8" i="9"/>
  <c r="BD713" i="1"/>
  <c r="BE460" i="1"/>
  <c r="BE398" i="1" s="1"/>
  <c r="BE456" i="1"/>
  <c r="J99" i="9"/>
  <c r="J48" i="9"/>
  <c r="K484" i="1"/>
  <c r="K486" i="1" s="1"/>
  <c r="K472" i="1" s="1"/>
  <c r="K4" i="9"/>
  <c r="AT2" i="9"/>
  <c r="AT5" i="11"/>
  <c r="AY5" i="1"/>
  <c r="AU5" i="1"/>
  <c r="AY34" i="9"/>
  <c r="AY714" i="1"/>
  <c r="AY681" i="1"/>
  <c r="AY618" i="1" s="1"/>
  <c r="AY623" i="1" s="1"/>
  <c r="AX572" i="1"/>
  <c r="AY572" i="1" s="1"/>
  <c r="AO97" i="1"/>
  <c r="AK163" i="1"/>
  <c r="M793" i="1"/>
  <c r="M173" i="10"/>
  <c r="M168" i="10"/>
  <c r="M165" i="10"/>
  <c r="M163" i="10"/>
  <c r="M159" i="10"/>
  <c r="M152" i="10"/>
  <c r="M150" i="10"/>
  <c r="M147" i="10"/>
  <c r="M144" i="10"/>
  <c r="M139" i="10"/>
  <c r="M136" i="10"/>
  <c r="M131" i="10"/>
  <c r="M125" i="10"/>
  <c r="M120" i="10"/>
  <c r="M115" i="10"/>
  <c r="M112" i="10"/>
  <c r="M109" i="10"/>
  <c r="M207" i="10"/>
  <c r="M200" i="10"/>
  <c r="M176" i="10"/>
  <c r="M174" i="10"/>
  <c r="M171" i="10"/>
  <c r="M166" i="10"/>
  <c r="M160" i="10"/>
  <c r="M155" i="10"/>
  <c r="M153" i="10"/>
  <c r="M145" i="10"/>
  <c r="M141" i="10"/>
  <c r="M134" i="10"/>
  <c r="M132" i="10"/>
  <c r="M129" i="10"/>
  <c r="M126" i="10"/>
  <c r="M121" i="10"/>
  <c r="M118" i="10"/>
  <c r="M110" i="10"/>
  <c r="M106" i="10"/>
  <c r="M208" i="10"/>
  <c r="M169" i="10"/>
  <c r="M167" i="10"/>
  <c r="M164" i="10"/>
  <c r="M156" i="10"/>
  <c r="M151" i="10"/>
  <c r="M148" i="10"/>
  <c r="M146" i="10"/>
  <c r="M142" i="10"/>
  <c r="M137" i="10"/>
  <c r="M135" i="10"/>
  <c r="M127" i="10"/>
  <c r="M123" i="10"/>
  <c r="M116" i="10"/>
  <c r="M113" i="10"/>
  <c r="M111" i="10"/>
  <c r="M107" i="10"/>
  <c r="M209" i="10"/>
  <c r="M206" i="10"/>
  <c r="M199" i="10"/>
  <c r="M175" i="10"/>
  <c r="M172" i="10"/>
  <c r="M170" i="10"/>
  <c r="M157" i="10"/>
  <c r="M154" i="10"/>
  <c r="M149" i="10"/>
  <c r="M143" i="10"/>
  <c r="M138" i="10"/>
  <c r="M133" i="10"/>
  <c r="M130" i="10"/>
  <c r="M128" i="10"/>
  <c r="M124" i="10"/>
  <c r="M119" i="10"/>
  <c r="M117" i="10"/>
  <c r="M114" i="10"/>
  <c r="M108" i="10"/>
  <c r="P108" i="10" l="1"/>
  <c r="O108" i="10"/>
  <c r="P114" i="10"/>
  <c r="O114" i="10"/>
  <c r="P117" i="10"/>
  <c r="O117" i="10"/>
  <c r="P119" i="10"/>
  <c r="O119" i="10"/>
  <c r="P124" i="10"/>
  <c r="O124" i="10"/>
  <c r="P128" i="10"/>
  <c r="O128" i="10"/>
  <c r="P130" i="10"/>
  <c r="O130" i="10"/>
  <c r="P133" i="10"/>
  <c r="O133" i="10"/>
  <c r="P138" i="10"/>
  <c r="O138" i="10"/>
  <c r="P143" i="10"/>
  <c r="O143" i="10"/>
  <c r="P149" i="10"/>
  <c r="O149" i="10"/>
  <c r="P154" i="10"/>
  <c r="O154" i="10"/>
  <c r="P157" i="10"/>
  <c r="O157" i="10"/>
  <c r="P170" i="10"/>
  <c r="O170" i="10"/>
  <c r="P172" i="10"/>
  <c r="O172" i="10"/>
  <c r="P175" i="10"/>
  <c r="O175" i="10"/>
  <c r="P199" i="10"/>
  <c r="O199" i="10"/>
  <c r="P206" i="10"/>
  <c r="O206" i="10"/>
  <c r="P209" i="10"/>
  <c r="O209" i="10"/>
  <c r="P107" i="10"/>
  <c r="O107" i="10"/>
  <c r="P111" i="10"/>
  <c r="O111" i="10"/>
  <c r="P113" i="10"/>
  <c r="O113" i="10"/>
  <c r="P116" i="10"/>
  <c r="O116" i="10"/>
  <c r="P123" i="10"/>
  <c r="O123" i="10"/>
  <c r="P127" i="10"/>
  <c r="O127" i="10"/>
  <c r="P135" i="10"/>
  <c r="O135" i="10"/>
  <c r="P137" i="10"/>
  <c r="O137" i="10"/>
  <c r="P142" i="10"/>
  <c r="O142" i="10"/>
  <c r="P146" i="10"/>
  <c r="O146" i="10"/>
  <c r="P148" i="10"/>
  <c r="O148" i="10"/>
  <c r="P151" i="10"/>
  <c r="O151" i="10"/>
  <c r="P156" i="10"/>
  <c r="O156" i="10"/>
  <c r="P164" i="10"/>
  <c r="O164" i="10"/>
  <c r="P167" i="10"/>
  <c r="O167" i="10"/>
  <c r="P169" i="10"/>
  <c r="O169" i="10"/>
  <c r="P208" i="10"/>
  <c r="O208" i="10"/>
  <c r="O106" i="10"/>
  <c r="P106" i="10"/>
  <c r="O110" i="10"/>
  <c r="P110" i="10"/>
  <c r="O118" i="10"/>
  <c r="P118" i="10"/>
  <c r="O121" i="10"/>
  <c r="P121" i="10"/>
  <c r="O126" i="10"/>
  <c r="P126" i="10"/>
  <c r="O129" i="10"/>
  <c r="P129" i="10"/>
  <c r="O132" i="10"/>
  <c r="P132" i="10"/>
  <c r="O134" i="10"/>
  <c r="P134" i="10"/>
  <c r="O141" i="10"/>
  <c r="P141" i="10"/>
  <c r="O145" i="10"/>
  <c r="P145" i="10"/>
  <c r="O153" i="10"/>
  <c r="P153" i="10"/>
  <c r="O155" i="10"/>
  <c r="P155" i="10"/>
  <c r="O160" i="10"/>
  <c r="P160" i="10"/>
  <c r="O166" i="10"/>
  <c r="P166" i="10"/>
  <c r="O171" i="10"/>
  <c r="P171" i="10"/>
  <c r="O174" i="10"/>
  <c r="P174" i="10"/>
  <c r="O176" i="10"/>
  <c r="P176" i="10"/>
  <c r="O200" i="10"/>
  <c r="P200" i="10"/>
  <c r="O207" i="10"/>
  <c r="P207" i="10"/>
  <c r="P109" i="10"/>
  <c r="O109" i="10"/>
  <c r="P112" i="10"/>
  <c r="O112" i="10"/>
  <c r="P115" i="10"/>
  <c r="O115" i="10"/>
  <c r="P120" i="10"/>
  <c r="O120" i="10"/>
  <c r="P125" i="10"/>
  <c r="O125" i="10"/>
  <c r="P131" i="10"/>
  <c r="O131" i="10"/>
  <c r="P136" i="10"/>
  <c r="O136" i="10"/>
  <c r="P139" i="10"/>
  <c r="O139" i="10"/>
  <c r="P144" i="10"/>
  <c r="O144" i="10"/>
  <c r="P147" i="10"/>
  <c r="O147" i="10"/>
  <c r="P150" i="10"/>
  <c r="O150" i="10"/>
  <c r="P152" i="10"/>
  <c r="O152" i="10"/>
  <c r="P159" i="10"/>
  <c r="O159" i="10"/>
  <c r="P163" i="10"/>
  <c r="O163" i="10"/>
  <c r="P165" i="10"/>
  <c r="O165" i="10"/>
  <c r="P168" i="10"/>
  <c r="O168" i="10"/>
  <c r="P173" i="10"/>
  <c r="O173" i="10"/>
  <c r="K478" i="1"/>
  <c r="K476" i="1"/>
  <c r="K473" i="1"/>
  <c r="K123" i="9"/>
  <c r="K6" i="9"/>
  <c r="K125" i="9"/>
  <c r="AO161" i="1"/>
  <c r="AO50" i="1"/>
  <c r="AY2" i="9"/>
  <c r="AY5" i="11"/>
  <c r="AY753" i="1"/>
  <c r="AY754" i="1" s="1"/>
  <c r="BD5" i="1"/>
  <c r="AZ5" i="1"/>
  <c r="BE8" i="9"/>
  <c r="BE713" i="1"/>
  <c r="BF456" i="1"/>
  <c r="BF460" i="1"/>
  <c r="BF398" i="1" s="1"/>
  <c r="BE454" i="1"/>
  <c r="BE683" i="1" s="1"/>
  <c r="AQ2" i="9"/>
  <c r="AQ5" i="11"/>
  <c r="AR5" i="1"/>
  <c r="AO145" i="1"/>
  <c r="AO80" i="1"/>
  <c r="AO24" i="9" s="1"/>
  <c r="AT76" i="1"/>
  <c r="AP76" i="1"/>
  <c r="AX561" i="1"/>
  <c r="AX328" i="1"/>
  <c r="AY393" i="1"/>
  <c r="AY328" i="1" s="1"/>
  <c r="AM2" i="9"/>
  <c r="AM5" i="11"/>
  <c r="AN5" i="1"/>
  <c r="U718" i="1"/>
  <c r="U613" i="1"/>
  <c r="Z610" i="1"/>
  <c r="Z611" i="1" s="1"/>
  <c r="V610" i="1"/>
  <c r="V611" i="1" s="1"/>
  <c r="N3" i="11"/>
  <c r="AX231" i="1"/>
  <c r="AY230" i="1"/>
  <c r="AX387" i="1"/>
  <c r="I718" i="1"/>
  <c r="I613" i="1"/>
  <c r="J610" i="1"/>
  <c r="J611" i="1" s="1"/>
  <c r="AO163" i="1"/>
  <c r="AO98" i="1"/>
  <c r="W550" i="1"/>
  <c r="V551" i="1"/>
  <c r="M484" i="1"/>
  <c r="M486" i="1" s="1"/>
  <c r="M472" i="1" s="1"/>
  <c r="M473" i="1" s="1"/>
  <c r="M474" i="1" s="1"/>
  <c r="M4" i="9"/>
  <c r="M6" i="9" s="1"/>
  <c r="M11" i="9" s="1"/>
  <c r="N786" i="1"/>
  <c r="N777" i="1"/>
  <c r="N775" i="1" s="1"/>
  <c r="N483" i="1" s="1"/>
  <c r="N770" i="1"/>
  <c r="N768" i="1" s="1"/>
  <c r="N482" i="1" s="1"/>
  <c r="N784" i="1"/>
  <c r="N782" i="1" s="1"/>
  <c r="N779" i="1"/>
  <c r="N772" i="1"/>
  <c r="AY617" i="1"/>
  <c r="AY622" i="1" s="1"/>
  <c r="AY685" i="1"/>
  <c r="AY220" i="1"/>
  <c r="AX221" i="1"/>
  <c r="AX385" i="1"/>
  <c r="AJ11" i="1"/>
  <c r="AJ27" i="9" s="1"/>
  <c r="AJ8" i="1"/>
  <c r="AO7" i="1"/>
  <c r="AK7" i="1"/>
  <c r="AO61" i="1"/>
  <c r="AO176" i="1"/>
  <c r="M718" i="1"/>
  <c r="M613" i="1"/>
  <c r="N610" i="1"/>
  <c r="N611" i="1" s="1"/>
  <c r="J100" i="9"/>
  <c r="J107" i="9" s="1"/>
  <c r="L100" i="9"/>
  <c r="N100" i="9"/>
  <c r="M100" i="9"/>
  <c r="AK165" i="1"/>
  <c r="AX74" i="9"/>
  <c r="AY570" i="1"/>
  <c r="AY74" i="9" s="1"/>
  <c r="AI2" i="9"/>
  <c r="AI5" i="11"/>
  <c r="AU2" i="9"/>
  <c r="AU5" i="11"/>
  <c r="AV5" i="1"/>
  <c r="AY616" i="1"/>
  <c r="AY621" i="1" s="1"/>
  <c r="J410" i="1"/>
  <c r="J710" i="1"/>
  <c r="J716" i="1"/>
  <c r="J711" i="1"/>
  <c r="K723" i="1"/>
  <c r="I716" i="1"/>
  <c r="L716" i="1"/>
  <c r="L484" i="1"/>
  <c r="L486" i="1" s="1"/>
  <c r="L472" i="1" s="1"/>
  <c r="L473" i="1" s="1"/>
  <c r="L474" i="1" s="1"/>
  <c r="L4" i="9"/>
  <c r="L6" i="9" s="1"/>
  <c r="L11" i="9" s="1"/>
  <c r="Q718" i="1"/>
  <c r="Q613" i="1"/>
  <c r="R610" i="1"/>
  <c r="R611" i="1" s="1"/>
  <c r="O1" i="9"/>
  <c r="O766" i="1"/>
  <c r="O793" i="1" s="1"/>
  <c r="O3" i="1"/>
  <c r="P4" i="1"/>
  <c r="O792" i="1"/>
  <c r="O791" i="1"/>
  <c r="O789" i="1" s="1"/>
  <c r="O485" i="1" s="1"/>
  <c r="O4" i="11"/>
  <c r="AX110" i="9"/>
  <c r="AX111" i="9" s="1"/>
  <c r="AX695" i="1"/>
  <c r="AX226" i="1"/>
  <c r="AX386" i="1"/>
  <c r="AY225" i="1"/>
  <c r="AO181" i="1"/>
  <c r="AO16" i="1" s="1"/>
  <c r="AO19" i="1" s="1"/>
  <c r="AO31" i="9" s="1"/>
  <c r="AK16" i="1"/>
  <c r="J465" i="1"/>
  <c r="J467" i="1"/>
  <c r="AO147" i="1"/>
  <c r="AO120" i="1"/>
  <c r="AO26" i="9" s="1"/>
  <c r="AT116" i="1"/>
  <c r="AP116" i="1"/>
  <c r="M58" i="10"/>
  <c r="M61" i="10"/>
  <c r="M63" i="10"/>
  <c r="M66" i="10"/>
  <c r="M68" i="10"/>
  <c r="M70" i="10"/>
  <c r="M79" i="10"/>
  <c r="M89" i="10"/>
  <c r="M91" i="10"/>
  <c r="M95" i="10"/>
  <c r="M59" i="10"/>
  <c r="M62" i="10"/>
  <c r="M67" i="10"/>
  <c r="M69" i="10"/>
  <c r="M71" i="10"/>
  <c r="M73" i="10"/>
  <c r="M78" i="10"/>
  <c r="M80" i="10"/>
  <c r="M82" i="10"/>
  <c r="M87" i="10"/>
  <c r="M96" i="10"/>
  <c r="M99" i="10"/>
  <c r="M57" i="10"/>
  <c r="M60" i="10"/>
  <c r="M64" i="10"/>
  <c r="M72" i="10"/>
  <c r="M77" i="10"/>
  <c r="M81" i="10"/>
  <c r="M90" i="10"/>
  <c r="M94" i="10"/>
  <c r="M97" i="10"/>
  <c r="M100" i="10"/>
  <c r="M103" i="10"/>
  <c r="M102" i="10"/>
  <c r="M101" i="10"/>
  <c r="M98" i="10"/>
  <c r="M104" i="10"/>
  <c r="P104" i="10" l="1"/>
  <c r="O104" i="10"/>
  <c r="O98" i="10"/>
  <c r="P98" i="10"/>
  <c r="O101" i="10"/>
  <c r="P101" i="10"/>
  <c r="P102" i="10"/>
  <c r="O102" i="10"/>
  <c r="P103" i="10"/>
  <c r="O103" i="10"/>
  <c r="P100" i="10"/>
  <c r="O100" i="10"/>
  <c r="P97" i="10"/>
  <c r="O97" i="10"/>
  <c r="P94" i="10"/>
  <c r="O94" i="10"/>
  <c r="P90" i="10"/>
  <c r="O90" i="10"/>
  <c r="P81" i="10"/>
  <c r="O81" i="10"/>
  <c r="P77" i="10"/>
  <c r="O77" i="10"/>
  <c r="P72" i="10"/>
  <c r="O72" i="10"/>
  <c r="O64" i="10"/>
  <c r="P64" i="10"/>
  <c r="O60" i="10"/>
  <c r="P60" i="10"/>
  <c r="O57" i="10"/>
  <c r="P57" i="10"/>
  <c r="P99" i="10"/>
  <c r="O99" i="10"/>
  <c r="P96" i="10"/>
  <c r="O96" i="10"/>
  <c r="P87" i="10"/>
  <c r="O87" i="10"/>
  <c r="O82" i="10"/>
  <c r="P82" i="10"/>
  <c r="P80" i="10"/>
  <c r="O80" i="10"/>
  <c r="O78" i="10"/>
  <c r="P78" i="10"/>
  <c r="O73" i="10"/>
  <c r="P73" i="10"/>
  <c r="O71" i="10"/>
  <c r="P71" i="10"/>
  <c r="O69" i="10"/>
  <c r="P69" i="10"/>
  <c r="P67" i="10"/>
  <c r="O67" i="10"/>
  <c r="P62" i="10"/>
  <c r="O62" i="10"/>
  <c r="P59" i="10"/>
  <c r="O59" i="10"/>
  <c r="P95" i="10"/>
  <c r="O95" i="10"/>
  <c r="O91" i="10"/>
  <c r="P91" i="10"/>
  <c r="P89" i="10"/>
  <c r="O89" i="10"/>
  <c r="P79" i="10"/>
  <c r="O79" i="10"/>
  <c r="P70" i="10"/>
  <c r="O70" i="10"/>
  <c r="P68" i="10"/>
  <c r="O68" i="10"/>
  <c r="O66" i="10"/>
  <c r="P66" i="10"/>
  <c r="P63" i="10"/>
  <c r="O63" i="10"/>
  <c r="O61" i="10"/>
  <c r="P61" i="10"/>
  <c r="O58" i="10"/>
  <c r="P58" i="10"/>
  <c r="M103" i="9"/>
  <c r="M107" i="9"/>
  <c r="AK17" i="1"/>
  <c r="AK29" i="9" s="1"/>
  <c r="AK19" i="1"/>
  <c r="AK31" i="9" s="1"/>
  <c r="AL17" i="1"/>
  <c r="AL29" i="9" s="1"/>
  <c r="AY386" i="1"/>
  <c r="AX321" i="1"/>
  <c r="AX58" i="9" s="1"/>
  <c r="AX36" i="9"/>
  <c r="P1" i="9"/>
  <c r="P766" i="1"/>
  <c r="P791" i="1" s="1"/>
  <c r="P789" i="1" s="1"/>
  <c r="P485" i="1" s="1"/>
  <c r="Q4" i="1"/>
  <c r="P3" i="1"/>
  <c r="P792" i="1"/>
  <c r="P793" i="1"/>
  <c r="P4" i="11"/>
  <c r="R718" i="1"/>
  <c r="R613" i="1"/>
  <c r="S610" i="1"/>
  <c r="S611" i="1" s="1"/>
  <c r="J412" i="1"/>
  <c r="J421" i="1" s="1"/>
  <c r="J420" i="1"/>
  <c r="J415" i="1"/>
  <c r="J134" i="9"/>
  <c r="AK167" i="1"/>
  <c r="AK172" i="1"/>
  <c r="AK170" i="1"/>
  <c r="L107" i="9"/>
  <c r="L103" i="9"/>
  <c r="N718" i="1"/>
  <c r="N613" i="1"/>
  <c r="O610" i="1"/>
  <c r="O611" i="1" s="1"/>
  <c r="AY110" i="9"/>
  <c r="AY111" i="9" s="1"/>
  <c r="AY695" i="1"/>
  <c r="N484" i="1"/>
  <c r="N486" i="1" s="1"/>
  <c r="N472" i="1" s="1"/>
  <c r="N473" i="1" s="1"/>
  <c r="N474" i="1" s="1"/>
  <c r="N4" i="9"/>
  <c r="N6" i="9" s="1"/>
  <c r="N11" i="9" s="1"/>
  <c r="J613" i="1"/>
  <c r="J718" i="1"/>
  <c r="AY231" i="1"/>
  <c r="AY232" i="1"/>
  <c r="AY233" i="1" s="1"/>
  <c r="AZ2" i="9"/>
  <c r="AZ5" i="11"/>
  <c r="AZ753" i="1"/>
  <c r="AZ754" i="1" s="1"/>
  <c r="BA5" i="1"/>
  <c r="K479" i="1"/>
  <c r="K474" i="1"/>
  <c r="O642" i="1"/>
  <c r="O641" i="1"/>
  <c r="O3" i="11"/>
  <c r="AK169" i="1"/>
  <c r="AK12" i="1"/>
  <c r="AK8" i="1"/>
  <c r="AX38" i="9"/>
  <c r="AX60" i="9" s="1"/>
  <c r="AY385" i="1"/>
  <c r="AX317" i="1"/>
  <c r="X550" i="1"/>
  <c r="W551" i="1"/>
  <c r="AO100" i="1"/>
  <c r="AO25" i="9" s="1"/>
  <c r="AT96" i="1"/>
  <c r="AP96" i="1"/>
  <c r="AO146" i="1"/>
  <c r="V718" i="1"/>
  <c r="V613" i="1"/>
  <c r="W610" i="1"/>
  <c r="W611" i="1" s="1"/>
  <c r="AN2" i="9"/>
  <c r="AN5" i="11"/>
  <c r="BF8" i="9"/>
  <c r="BF713" i="1"/>
  <c r="BF454" i="1"/>
  <c r="BF683" i="1" s="1"/>
  <c r="BG456" i="1"/>
  <c r="BG460" i="1" s="1"/>
  <c r="BG398" i="1" s="1"/>
  <c r="BD2" i="9"/>
  <c r="BD5" i="11"/>
  <c r="BD753" i="1"/>
  <c r="BD754" i="1" s="1"/>
  <c r="BE5" i="1"/>
  <c r="AK171" i="1"/>
  <c r="K126" i="9"/>
  <c r="K11" i="9"/>
  <c r="AP122" i="1"/>
  <c r="AP117" i="1"/>
  <c r="Z613" i="1"/>
  <c r="AE610" i="1"/>
  <c r="AE611" i="1" s="1"/>
  <c r="AA610" i="1"/>
  <c r="AA611" i="1" s="1"/>
  <c r="AX698" i="1"/>
  <c r="AY561" i="1"/>
  <c r="AK168" i="1"/>
  <c r="AO52" i="1"/>
  <c r="AO23" i="9" s="1"/>
  <c r="AT48" i="1"/>
  <c r="AP48" i="1"/>
  <c r="AO43" i="1"/>
  <c r="AO144" i="1"/>
  <c r="O784" i="1"/>
  <c r="O782" i="1" s="1"/>
  <c r="O779" i="1"/>
  <c r="O772" i="1"/>
  <c r="O786" i="1"/>
  <c r="O777" i="1"/>
  <c r="O775" i="1" s="1"/>
  <c r="O483" i="1" s="1"/>
  <c r="O770" i="1"/>
  <c r="O768" i="1" s="1"/>
  <c r="O482" i="1" s="1"/>
  <c r="AY227" i="1"/>
  <c r="AY228" i="1" s="1"/>
  <c r="AY226" i="1"/>
  <c r="AV2" i="9"/>
  <c r="AV5" i="11"/>
  <c r="AW5" i="1"/>
  <c r="N103" i="9"/>
  <c r="N107" i="9"/>
  <c r="AY221" i="1"/>
  <c r="AY222" i="1"/>
  <c r="AY223" i="1" s="1"/>
  <c r="AX322" i="1"/>
  <c r="AX59" i="9" s="1"/>
  <c r="AY387" i="1"/>
  <c r="AX37" i="9"/>
  <c r="AP82" i="1"/>
  <c r="AP77" i="1"/>
  <c r="AR2" i="9"/>
  <c r="AR5" i="11"/>
  <c r="AS5" i="1"/>
  <c r="AO169" i="1"/>
  <c r="AO165" i="1"/>
  <c r="M85" i="10"/>
  <c r="M50" i="10"/>
  <c r="M46" i="10"/>
  <c r="M38" i="10"/>
  <c r="M35" i="10"/>
  <c r="M30" i="10"/>
  <c r="M27" i="10"/>
  <c r="M22" i="10"/>
  <c r="M19" i="10"/>
  <c r="M54" i="10"/>
  <c r="M48" i="10"/>
  <c r="M39" i="10"/>
  <c r="M36" i="10"/>
  <c r="M31" i="10"/>
  <c r="M28" i="10"/>
  <c r="M23" i="10"/>
  <c r="M49" i="10"/>
  <c r="M40" i="10"/>
  <c r="M37" i="10"/>
  <c r="M32" i="10"/>
  <c r="M24" i="10"/>
  <c r="M20" i="10"/>
  <c r="M17" i="10"/>
  <c r="M55" i="10"/>
  <c r="M51" i="10"/>
  <c r="M41" i="10"/>
  <c r="M33" i="10"/>
  <c r="M29" i="10"/>
  <c r="M26" i="10"/>
  <c r="M21" i="10"/>
  <c r="M18" i="10"/>
  <c r="P18" i="10" l="1"/>
  <c r="O18" i="10"/>
  <c r="P21" i="10"/>
  <c r="O21" i="10"/>
  <c r="P26" i="10"/>
  <c r="O26" i="10"/>
  <c r="P29" i="10"/>
  <c r="O29" i="10"/>
  <c r="P33" i="10"/>
  <c r="O33" i="10"/>
  <c r="P41" i="10"/>
  <c r="O41" i="10"/>
  <c r="P51" i="10"/>
  <c r="O51" i="10"/>
  <c r="P55" i="10"/>
  <c r="O55" i="10"/>
  <c r="P17" i="10"/>
  <c r="O17" i="10"/>
  <c r="P20" i="10"/>
  <c r="O20" i="10"/>
  <c r="P24" i="10"/>
  <c r="O24" i="10"/>
  <c r="P32" i="10"/>
  <c r="O32" i="10"/>
  <c r="P37" i="10"/>
  <c r="O37" i="10"/>
  <c r="P40" i="10"/>
  <c r="O40" i="10"/>
  <c r="P49" i="10"/>
  <c r="O49" i="10"/>
  <c r="O23" i="10"/>
  <c r="P23" i="10"/>
  <c r="O28" i="10"/>
  <c r="P28" i="10"/>
  <c r="O31" i="10"/>
  <c r="P31" i="10"/>
  <c r="O36" i="10"/>
  <c r="P36" i="10"/>
  <c r="O39" i="10"/>
  <c r="P39" i="10"/>
  <c r="O48" i="10"/>
  <c r="P48" i="10"/>
  <c r="P54" i="10"/>
  <c r="O54" i="10"/>
  <c r="P19" i="10"/>
  <c r="O19" i="10"/>
  <c r="P22" i="10"/>
  <c r="O22" i="10"/>
  <c r="P27" i="10"/>
  <c r="O27" i="10"/>
  <c r="P30" i="10"/>
  <c r="O30" i="10"/>
  <c r="P35" i="10"/>
  <c r="O35" i="10"/>
  <c r="P38" i="10"/>
  <c r="O38" i="10"/>
  <c r="P46" i="10"/>
  <c r="O46" i="10"/>
  <c r="O50" i="10"/>
  <c r="P50" i="10"/>
  <c r="P85" i="10"/>
  <c r="O85" i="10"/>
  <c r="O484" i="1"/>
  <c r="O486" i="1" s="1"/>
  <c r="O472" i="1" s="1"/>
  <c r="O473" i="1" s="1"/>
  <c r="O474" i="1" s="1"/>
  <c r="O4" i="9"/>
  <c r="O6" i="9" s="1"/>
  <c r="O11" i="9" s="1"/>
  <c r="K127" i="9"/>
  <c r="K124" i="9"/>
  <c r="AY317" i="1"/>
  <c r="AY38" i="9"/>
  <c r="AY60" i="9" s="1"/>
  <c r="AK173" i="1"/>
  <c r="AT77" i="1"/>
  <c r="AP162" i="1"/>
  <c r="AO167" i="1"/>
  <c r="AO172" i="1"/>
  <c r="AO168" i="1"/>
  <c r="AO170" i="1"/>
  <c r="AS2" i="9"/>
  <c r="AS5" i="11"/>
  <c r="AT82" i="1"/>
  <c r="AT84" i="1" s="1"/>
  <c r="AP84" i="1"/>
  <c r="AP83" i="1"/>
  <c r="AQ83" i="1"/>
  <c r="AW2" i="9"/>
  <c r="AW5" i="11"/>
  <c r="AX5" i="1"/>
  <c r="AO148" i="1"/>
  <c r="AA613" i="1"/>
  <c r="AB610" i="1"/>
  <c r="AB611" i="1" s="1"/>
  <c r="AO171" i="1"/>
  <c r="K480" i="1"/>
  <c r="K477" i="1"/>
  <c r="O399" i="1"/>
  <c r="L640" i="1"/>
  <c r="N463" i="1"/>
  <c r="N640" i="1"/>
  <c r="L463" i="1"/>
  <c r="O640" i="1"/>
  <c r="M463" i="1"/>
  <c r="M640" i="1"/>
  <c r="L639" i="1"/>
  <c r="M639" i="1"/>
  <c r="N461" i="1"/>
  <c r="N639" i="1"/>
  <c r="O639" i="1"/>
  <c r="L461" i="1"/>
  <c r="M461" i="1"/>
  <c r="O461" i="1"/>
  <c r="M465" i="1"/>
  <c r="L465" i="1"/>
  <c r="N465" i="1"/>
  <c r="P3" i="11"/>
  <c r="L641" i="1"/>
  <c r="L642" i="1"/>
  <c r="M641" i="1"/>
  <c r="M642" i="1"/>
  <c r="N641" i="1"/>
  <c r="N642" i="1"/>
  <c r="AO173" i="1"/>
  <c r="AO45" i="1"/>
  <c r="AO143" i="1"/>
  <c r="AY698" i="1"/>
  <c r="AE613" i="1"/>
  <c r="AJ610" i="1"/>
  <c r="AJ611" i="1" s="1"/>
  <c r="AF610" i="1"/>
  <c r="AF611" i="1" s="1"/>
  <c r="AP164" i="1"/>
  <c r="AT117" i="1"/>
  <c r="W718" i="1"/>
  <c r="W613" i="1"/>
  <c r="X610" i="1"/>
  <c r="X611" i="1" s="1"/>
  <c r="AP97" i="1"/>
  <c r="AP102" i="1"/>
  <c r="Y550" i="1"/>
  <c r="X551" i="1"/>
  <c r="O613" i="1"/>
  <c r="O718" i="1"/>
  <c r="S718" i="1"/>
  <c r="S613" i="1"/>
  <c r="T610" i="1"/>
  <c r="T611" i="1" s="1"/>
  <c r="Q1" i="9"/>
  <c r="Q766" i="1"/>
  <c r="Q3" i="1"/>
  <c r="R4" i="1"/>
  <c r="Q791" i="1"/>
  <c r="Q789" i="1" s="1"/>
  <c r="Q485" i="1" s="1"/>
  <c r="Q792" i="1"/>
  <c r="Q4" i="11"/>
  <c r="AY37" i="9"/>
  <c r="AY322" i="1"/>
  <c r="AY59" i="9" s="1"/>
  <c r="AP49" i="1"/>
  <c r="AP54" i="1"/>
  <c r="AP123" i="1"/>
  <c r="AT122" i="1"/>
  <c r="AT124" i="1" s="1"/>
  <c r="AP124" i="1"/>
  <c r="AQ123" i="1"/>
  <c r="BE2" i="9"/>
  <c r="BE753" i="1"/>
  <c r="BE754" i="1" s="1"/>
  <c r="BE5" i="11"/>
  <c r="BF5" i="1"/>
  <c r="BG8" i="9"/>
  <c r="BG713" i="1"/>
  <c r="BG454" i="1"/>
  <c r="BG683" i="1" s="1"/>
  <c r="AK13" i="1"/>
  <c r="AO12" i="1"/>
  <c r="AO14" i="1" s="1"/>
  <c r="AK14" i="1"/>
  <c r="AL13" i="1"/>
  <c r="BA2" i="9"/>
  <c r="BA753" i="1"/>
  <c r="BA754" i="1" s="1"/>
  <c r="BA5" i="11"/>
  <c r="BB5" i="1"/>
  <c r="J53" i="9"/>
  <c r="J422" i="1"/>
  <c r="J54" i="9" s="1"/>
  <c r="J84" i="9" s="1"/>
  <c r="K724" i="1"/>
  <c r="P784" i="1"/>
  <c r="P782" i="1" s="1"/>
  <c r="P779" i="1"/>
  <c r="P772" i="1"/>
  <c r="P786" i="1"/>
  <c r="P777" i="1"/>
  <c r="P775" i="1" s="1"/>
  <c r="P483" i="1" s="1"/>
  <c r="P770" i="1"/>
  <c r="P768" i="1" s="1"/>
  <c r="P482" i="1" s="1"/>
  <c r="AY321" i="1"/>
  <c r="AY58" i="9" s="1"/>
  <c r="AY36" i="9"/>
  <c r="M9" i="10"/>
  <c r="M8" i="10"/>
  <c r="M15" i="10"/>
  <c r="M14" i="10"/>
  <c r="P14" i="10" l="1"/>
  <c r="O14" i="10"/>
  <c r="O15" i="10"/>
  <c r="P15" i="10"/>
  <c r="O8" i="10"/>
  <c r="P8" i="10"/>
  <c r="P9" i="10"/>
  <c r="O9" i="10"/>
  <c r="P484" i="1"/>
  <c r="P486" i="1" s="1"/>
  <c r="P472" i="1" s="1"/>
  <c r="P4" i="9"/>
  <c r="BB2" i="9"/>
  <c r="BB5" i="11"/>
  <c r="BB753" i="1"/>
  <c r="BB754" i="1" s="1"/>
  <c r="BC5" i="1"/>
  <c r="BF2" i="9"/>
  <c r="BF5" i="11"/>
  <c r="BF753" i="1"/>
  <c r="BF754" i="1" s="1"/>
  <c r="BG5" i="1"/>
  <c r="AP56" i="1"/>
  <c r="AP55" i="1"/>
  <c r="AT54" i="1"/>
  <c r="AT56" i="1" s="1"/>
  <c r="AQ55" i="1"/>
  <c r="R1" i="9"/>
  <c r="R3" i="1"/>
  <c r="R766" i="1" s="1"/>
  <c r="S4" i="1"/>
  <c r="R792" i="1"/>
  <c r="R4" i="11"/>
  <c r="T613" i="1"/>
  <c r="T718" i="1"/>
  <c r="AT97" i="1"/>
  <c r="AP163" i="1"/>
  <c r="AT164" i="1"/>
  <c r="AT118" i="1"/>
  <c r="AO152" i="1"/>
  <c r="AX2" i="9"/>
  <c r="AX5" i="11"/>
  <c r="AX753" i="1"/>
  <c r="AX754" i="1" s="1"/>
  <c r="AT49" i="1"/>
  <c r="AP161" i="1"/>
  <c r="Q3" i="11"/>
  <c r="X718" i="1"/>
  <c r="X613" i="1"/>
  <c r="Y610" i="1"/>
  <c r="Y611" i="1" s="1"/>
  <c r="O462" i="1"/>
  <c r="O40" i="9"/>
  <c r="O42" i="9" s="1"/>
  <c r="O47" i="9" s="1"/>
  <c r="O402" i="1"/>
  <c r="BA755" i="1"/>
  <c r="Q786" i="1"/>
  <c r="Q777" i="1"/>
  <c r="Q775" i="1" s="1"/>
  <c r="Q483" i="1" s="1"/>
  <c r="Q770" i="1"/>
  <c r="Q768" i="1" s="1"/>
  <c r="Q482" i="1" s="1"/>
  <c r="Q784" i="1"/>
  <c r="Q782" i="1" s="1"/>
  <c r="Q779" i="1"/>
  <c r="Q772" i="1"/>
  <c r="Z550" i="1"/>
  <c r="Z551" i="1" s="1"/>
  <c r="Y551" i="1"/>
  <c r="AF613" i="1"/>
  <c r="AG610" i="1"/>
  <c r="AG611" i="1" s="1"/>
  <c r="AO9" i="1"/>
  <c r="AO151" i="1"/>
  <c r="AP181" i="1"/>
  <c r="AO156" i="1"/>
  <c r="AO154" i="1"/>
  <c r="J133" i="9"/>
  <c r="J94" i="9"/>
  <c r="Q793" i="1"/>
  <c r="AP104" i="1"/>
  <c r="AP103" i="1"/>
  <c r="AT102" i="1"/>
  <c r="AT104" i="1" s="1"/>
  <c r="AQ103" i="1"/>
  <c r="AJ613" i="1"/>
  <c r="AO610" i="1"/>
  <c r="AO611" i="1" s="1"/>
  <c r="AK610" i="1"/>
  <c r="AK611" i="1" s="1"/>
  <c r="AO155" i="1"/>
  <c r="AB613" i="1"/>
  <c r="AC610" i="1"/>
  <c r="AC611" i="1" s="1"/>
  <c r="AO153" i="1"/>
  <c r="AO157" i="1" s="1"/>
  <c r="AT162" i="1"/>
  <c r="AT78" i="1"/>
  <c r="R786" i="1" l="1"/>
  <c r="R777" i="1"/>
  <c r="R775" i="1" s="1"/>
  <c r="R483" i="1" s="1"/>
  <c r="R770" i="1"/>
  <c r="R768" i="1" s="1"/>
  <c r="R482" i="1" s="1"/>
  <c r="R784" i="1"/>
  <c r="R782" i="1" s="1"/>
  <c r="R779" i="1"/>
  <c r="R772" i="1"/>
  <c r="R791" i="1"/>
  <c r="R789" i="1" s="1"/>
  <c r="R485" i="1" s="1"/>
  <c r="R793" i="1"/>
  <c r="AO613" i="1"/>
  <c r="AT610" i="1"/>
  <c r="AT611" i="1" s="1"/>
  <c r="AP610" i="1"/>
  <c r="AP611" i="1" s="1"/>
  <c r="J95" i="9"/>
  <c r="L95" i="9"/>
  <c r="L98" i="9" s="1"/>
  <c r="M95" i="9"/>
  <c r="M98" i="9" s="1"/>
  <c r="N95" i="9"/>
  <c r="N98" i="9" s="1"/>
  <c r="AG613" i="1"/>
  <c r="AH610" i="1"/>
  <c r="AH611" i="1" s="1"/>
  <c r="AA550" i="1"/>
  <c r="Z718" i="1"/>
  <c r="AC613" i="1"/>
  <c r="AD610" i="1"/>
  <c r="AD611" i="1" s="1"/>
  <c r="AT181" i="1"/>
  <c r="AT16" i="1" s="1"/>
  <c r="AT19" i="1" s="1"/>
  <c r="AT31" i="9" s="1"/>
  <c r="AP16" i="1"/>
  <c r="BA762" i="1"/>
  <c r="BA760" i="1"/>
  <c r="BA759" i="1"/>
  <c r="BA756" i="1"/>
  <c r="BA315" i="1" s="1"/>
  <c r="BA217" i="1" s="1"/>
  <c r="BA757" i="1"/>
  <c r="BA380" i="1" s="1"/>
  <c r="BA29" i="1" s="1"/>
  <c r="BA761" i="1"/>
  <c r="BA758" i="1"/>
  <c r="AT80" i="1"/>
  <c r="AT24" i="9" s="1"/>
  <c r="AY76" i="1"/>
  <c r="AU76" i="1"/>
  <c r="AT145" i="1"/>
  <c r="O48" i="9"/>
  <c r="O99" i="9"/>
  <c r="AT147" i="1"/>
  <c r="AT120" i="1"/>
  <c r="AT26" i="9" s="1"/>
  <c r="AY116" i="1"/>
  <c r="AU116" i="1"/>
  <c r="AK613" i="1"/>
  <c r="AL610" i="1"/>
  <c r="AL611" i="1" s="1"/>
  <c r="AO8" i="1"/>
  <c r="AT7" i="1"/>
  <c r="AP7" i="1"/>
  <c r="AO11" i="1"/>
  <c r="AO27" i="9" s="1"/>
  <c r="Q484" i="1"/>
  <c r="Q486" i="1" s="1"/>
  <c r="Q472" i="1" s="1"/>
  <c r="Q473" i="1" s="1"/>
  <c r="Q474" i="1" s="1"/>
  <c r="Q4" i="9"/>
  <c r="Q6" i="9" s="1"/>
  <c r="Q11" i="9" s="1"/>
  <c r="O463" i="1"/>
  <c r="O464" i="1"/>
  <c r="AP165" i="1"/>
  <c r="AP169" i="1"/>
  <c r="AT161" i="1"/>
  <c r="AT50" i="1"/>
  <c r="AP171" i="1"/>
  <c r="S1" i="9"/>
  <c r="S766" i="1"/>
  <c r="S793" i="1" s="1"/>
  <c r="S3" i="1"/>
  <c r="T4" i="1"/>
  <c r="S792" i="1"/>
  <c r="S791" i="1"/>
  <c r="S789" i="1" s="1"/>
  <c r="S485" i="1" s="1"/>
  <c r="S4" i="11"/>
  <c r="BG2" i="9"/>
  <c r="BG5" i="11"/>
  <c r="BG753" i="1"/>
  <c r="BG754" i="1" s="1"/>
  <c r="B41" i="10"/>
  <c r="B208" i="10"/>
  <c r="B206" i="10"/>
  <c r="L160" i="10"/>
  <c r="B160" i="10"/>
  <c r="L51" i="10"/>
  <c r="L100" i="10"/>
  <c r="L192" i="10"/>
  <c r="L182" i="10"/>
  <c r="B114" i="10"/>
  <c r="L49" i="10"/>
  <c r="B17" i="10"/>
  <c r="L17" i="10"/>
  <c r="B81" i="10"/>
  <c r="B135" i="10"/>
  <c r="B29" i="10"/>
  <c r="L206" i="10"/>
  <c r="B187" i="10"/>
  <c r="L8" i="10"/>
  <c r="L79" i="10"/>
  <c r="B207" i="10"/>
  <c r="L11" i="10"/>
  <c r="L54" i="10"/>
  <c r="B78" i="10"/>
  <c r="B151" i="10"/>
  <c r="L203" i="10"/>
  <c r="L141" i="10"/>
  <c r="B39" i="10"/>
  <c r="B104" i="10"/>
  <c r="B79" i="10"/>
  <c r="B126" i="10"/>
  <c r="B209" i="10"/>
  <c r="B156" i="10"/>
  <c r="L168" i="10"/>
  <c r="B189" i="10"/>
  <c r="B117" i="10"/>
  <c r="L149" i="10"/>
  <c r="L123" i="10"/>
  <c r="B112" i="10"/>
  <c r="L117" i="10"/>
  <c r="B176" i="10"/>
  <c r="L126" i="10"/>
  <c r="L134" i="10"/>
  <c r="B188" i="10"/>
  <c r="L40" i="10"/>
  <c r="B54" i="10"/>
  <c r="L13" i="10"/>
  <c r="L184" i="10"/>
  <c r="L89" i="10"/>
  <c r="B197" i="10"/>
  <c r="B168" i="10"/>
  <c r="B89" i="10"/>
  <c r="L181" i="10"/>
  <c r="L171" i="10"/>
  <c r="L148" i="10"/>
  <c r="L35" i="10"/>
  <c r="B123" i="10"/>
  <c r="L204" i="10"/>
  <c r="L156" i="10"/>
  <c r="L115" i="10"/>
  <c r="L44" i="10"/>
  <c r="L92" i="10"/>
  <c r="B63" i="10"/>
  <c r="B92" i="10"/>
  <c r="B148" i="10"/>
  <c r="L69" i="10"/>
  <c r="L196" i="10"/>
  <c r="B173" i="10"/>
  <c r="B147" i="10"/>
  <c r="B211" i="10"/>
  <c r="L18" i="10"/>
  <c r="B153" i="10"/>
  <c r="B181" i="10"/>
  <c r="B185" i="10"/>
  <c r="L55" i="10"/>
  <c r="B192" i="10"/>
  <c r="B8" i="10"/>
  <c r="B110" i="10"/>
  <c r="L12" i="10"/>
  <c r="L169" i="10"/>
  <c r="B116" i="10"/>
  <c r="L193" i="10"/>
  <c r="L194" i="10"/>
  <c r="B82" i="10"/>
  <c r="L62" i="10"/>
  <c r="B807" i="1"/>
  <c r="E7" i="8" s="1"/>
  <c r="L107" i="10"/>
  <c r="L150" i="10"/>
  <c r="B57" i="10"/>
  <c r="L37" i="10"/>
  <c r="L29" i="10"/>
  <c r="L121" i="10"/>
  <c r="L9" i="10"/>
  <c r="L200" i="10"/>
  <c r="B100" i="10"/>
  <c r="B32" i="10"/>
  <c r="B77" i="10"/>
  <c r="B155" i="10"/>
  <c r="L138" i="10"/>
  <c r="B83" i="10"/>
  <c r="L78" i="10"/>
  <c r="B144" i="10"/>
  <c r="L50" i="10"/>
  <c r="B30" i="10"/>
  <c r="B150" i="10"/>
  <c r="B199" i="10"/>
  <c r="L36" i="10"/>
  <c r="B118" i="10"/>
  <c r="L101" i="10"/>
  <c r="B40" i="10"/>
  <c r="L73" i="10"/>
  <c r="B152" i="10"/>
  <c r="L135" i="10"/>
  <c r="B80" i="10"/>
  <c r="L174" i="10"/>
  <c r="B200" i="10"/>
  <c r="B18" i="10"/>
  <c r="B93" i="10"/>
  <c r="B33" i="10"/>
  <c r="B44" i="10"/>
  <c r="B113" i="10"/>
  <c r="B196" i="10"/>
  <c r="L172" i="10"/>
  <c r="B119" i="10"/>
  <c r="L114" i="10"/>
  <c r="L57" i="10"/>
  <c r="B136" i="10"/>
  <c r="L131" i="10"/>
  <c r="B23" i="10"/>
  <c r="B94" i="10"/>
  <c r="B170" i="10"/>
  <c r="L165" i="10"/>
  <c r="B61" i="10"/>
  <c r="B169" i="10"/>
  <c r="B13" i="10"/>
  <c r="B99" i="10"/>
  <c r="L199" i="10"/>
  <c r="B174" i="10"/>
  <c r="L113" i="10"/>
  <c r="L116" i="10"/>
  <c r="B19" i="10"/>
  <c r="B175" i="10"/>
  <c r="L195" i="10"/>
  <c r="B191" i="10"/>
  <c r="M75" i="10"/>
  <c r="L154" i="10"/>
  <c r="B137" i="10"/>
  <c r="L71" i="10"/>
  <c r="L112" i="10"/>
  <c r="B14" i="10"/>
  <c r="B171" i="10"/>
  <c r="L110" i="10"/>
  <c r="B195" i="10"/>
  <c r="L52" i="10"/>
  <c r="B132" i="10"/>
  <c r="B183" i="10"/>
  <c r="L145" i="10"/>
  <c r="B139" i="10"/>
  <c r="B120" i="10"/>
  <c r="L23" i="10"/>
  <c r="B96" i="10"/>
  <c r="B37" i="10"/>
  <c r="L31" i="10"/>
  <c r="L87" i="10"/>
  <c r="L164" i="10"/>
  <c r="B194" i="10"/>
  <c r="L63" i="10"/>
  <c r="B46" i="10"/>
  <c r="B129" i="10"/>
  <c r="L21" i="10"/>
  <c r="L142" i="10"/>
  <c r="L151" i="10"/>
  <c r="B202" i="10"/>
  <c r="L85" i="10"/>
  <c r="B64" i="10"/>
  <c r="L211" i="10"/>
  <c r="B109" i="10"/>
  <c r="B90" i="10"/>
  <c r="B166" i="10"/>
  <c r="L188" i="10"/>
  <c r="L179" i="10"/>
  <c r="B154" i="10"/>
  <c r="L61" i="10"/>
  <c r="B130" i="10"/>
  <c r="B75" i="10"/>
  <c r="L14" i="10"/>
  <c r="B98" i="10"/>
  <c r="B164" i="10"/>
  <c r="L111" i="10"/>
  <c r="B106" i="10"/>
  <c r="L146" i="10"/>
  <c r="B52" i="10"/>
  <c r="L32" i="10"/>
  <c r="L144" i="10"/>
  <c r="L202" i="10"/>
  <c r="B38" i="10"/>
  <c r="L120" i="10"/>
  <c r="B103" i="10"/>
  <c r="L33" i="10"/>
  <c r="B143" i="10"/>
  <c r="L183" i="10"/>
  <c r="L53" i="10"/>
  <c r="L133" i="10"/>
  <c r="L143" i="10"/>
  <c r="L6" i="10"/>
  <c r="L93" i="10"/>
  <c r="L167" i="10"/>
  <c r="L176" i="10"/>
  <c r="B115" i="10"/>
  <c r="B48" i="10"/>
  <c r="L128" i="10"/>
  <c r="B111" i="10"/>
  <c r="L106" i="10"/>
  <c r="B36" i="10"/>
  <c r="B50" i="10"/>
  <c r="L130" i="10"/>
  <c r="L189" i="10"/>
  <c r="L26" i="10"/>
  <c r="L137" i="10"/>
  <c r="B6" i="10"/>
  <c r="L91" i="10"/>
  <c r="B69" i="10"/>
  <c r="L166" i="10"/>
  <c r="B42" i="10"/>
  <c r="L125" i="10"/>
  <c r="B108" i="10"/>
  <c r="L185" i="10"/>
  <c r="B138" i="10"/>
  <c r="B159" i="10"/>
  <c r="L66" i="10"/>
  <c r="L58" i="10"/>
  <c r="L129" i="10"/>
  <c r="L64" i="10"/>
  <c r="B51" i="10"/>
  <c r="B133" i="10"/>
  <c r="B182" i="10"/>
  <c r="B20" i="10"/>
  <c r="L147" i="10"/>
  <c r="B9" i="10"/>
  <c r="B95" i="10"/>
  <c r="B161" i="10"/>
  <c r="L108" i="10"/>
  <c r="B60" i="10"/>
  <c r="L157" i="10"/>
  <c r="B141" i="10"/>
  <c r="L77" i="10"/>
  <c r="B128" i="10"/>
  <c r="B15" i="10"/>
  <c r="B26" i="10"/>
  <c r="L98" i="10"/>
  <c r="L30" i="10"/>
  <c r="L19" i="10"/>
  <c r="B102" i="10"/>
  <c r="L97" i="10"/>
  <c r="L163" i="10"/>
  <c r="B101" i="10"/>
  <c r="B91" i="10"/>
  <c r="B167" i="10"/>
  <c r="L187" i="10"/>
  <c r="B58" i="10"/>
  <c r="B125" i="10"/>
  <c r="L28" i="10"/>
  <c r="L20" i="10"/>
  <c r="L95" i="10"/>
  <c r="L27" i="10"/>
  <c r="L80" i="10"/>
  <c r="L159" i="10"/>
  <c r="B142" i="10"/>
  <c r="B190" i="10"/>
  <c r="B172" i="10"/>
  <c r="B162" i="10"/>
  <c r="B53" i="10"/>
  <c r="B31" i="10"/>
  <c r="L132" i="10"/>
  <c r="L68" i="10"/>
  <c r="B178" i="10"/>
  <c r="B87" i="10"/>
  <c r="B68" i="10"/>
  <c r="L10" i="10"/>
  <c r="L39" i="10"/>
  <c r="B121" i="10"/>
  <c r="L104" i="10"/>
  <c r="L48" i="10"/>
  <c r="L38" i="10"/>
  <c r="L155" i="10"/>
  <c r="L46" i="10"/>
  <c r="L24" i="10"/>
  <c r="B134" i="10"/>
  <c r="B70" i="10"/>
  <c r="L207" i="10"/>
  <c r="B55" i="10"/>
  <c r="B127" i="10"/>
  <c r="B71" i="10"/>
  <c r="L81" i="10"/>
  <c r="L118" i="10"/>
  <c r="B21" i="10"/>
  <c r="L102" i="10"/>
  <c r="B97" i="10"/>
  <c r="L152" i="10"/>
  <c r="B59" i="10"/>
  <c r="L136" i="10"/>
  <c r="B131" i="10"/>
  <c r="B67" i="10"/>
  <c r="L190" i="10"/>
  <c r="L191" i="10"/>
  <c r="B62" i="10"/>
  <c r="B72" i="10"/>
  <c r="B180" i="10"/>
  <c r="L83" i="10"/>
  <c r="L162" i="10"/>
  <c r="B145" i="10"/>
  <c r="L139" i="10"/>
  <c r="B73" i="10"/>
  <c r="B22" i="10"/>
  <c r="L124" i="10"/>
  <c r="B107" i="10"/>
  <c r="B10" i="10"/>
  <c r="L94" i="10"/>
  <c r="L75" i="10"/>
  <c r="L67" i="10"/>
  <c r="B203" i="10"/>
  <c r="L42" i="10"/>
  <c r="L127" i="10"/>
  <c r="B28" i="10"/>
  <c r="L22" i="10"/>
  <c r="B149" i="10"/>
  <c r="L208" i="10"/>
  <c r="L15" i="10"/>
  <c r="L99" i="10"/>
  <c r="L109" i="10"/>
  <c r="L41" i="10"/>
  <c r="L119" i="10"/>
  <c r="L209" i="10"/>
  <c r="B179" i="10"/>
  <c r="L173" i="10"/>
  <c r="L153" i="10"/>
  <c r="B186" i="10"/>
  <c r="B24" i="10"/>
  <c r="B35" i="10"/>
  <c r="B146" i="10"/>
  <c r="B12" i="10"/>
  <c r="L96" i="10"/>
  <c r="L170" i="10"/>
  <c r="B165" i="10"/>
  <c r="L103" i="10"/>
  <c r="L82" i="10"/>
  <c r="L161" i="10"/>
  <c r="B66" i="10"/>
  <c r="L60" i="10"/>
  <c r="B184" i="10"/>
  <c r="B124" i="10"/>
  <c r="B11" i="10"/>
  <c r="B193" i="10"/>
  <c r="L197" i="10"/>
  <c r="B157" i="10"/>
  <c r="B49" i="10"/>
  <c r="B27" i="10"/>
  <c r="B204" i="10"/>
  <c r="L72" i="10"/>
  <c r="B85" i="10"/>
  <c r="B163" i="10"/>
  <c r="L59" i="10"/>
  <c r="L175" i="10"/>
  <c r="L186" i="10"/>
  <c r="L180" i="10"/>
  <c r="L90" i="10"/>
  <c r="L70" i="10"/>
  <c r="L178" i="10"/>
  <c r="BC2" i="9"/>
  <c r="BC5" i="11"/>
  <c r="BC753" i="1"/>
  <c r="BC754" i="1" s="1"/>
  <c r="P125" i="9"/>
  <c r="P123" i="9"/>
  <c r="P6" i="9"/>
  <c r="O406" i="1"/>
  <c r="O418" i="1"/>
  <c r="O417" i="1"/>
  <c r="Y613" i="1"/>
  <c r="Y718" i="1"/>
  <c r="AX755" i="1"/>
  <c r="AY755" i="1"/>
  <c r="AZ755" i="1"/>
  <c r="AT163" i="1"/>
  <c r="AT98" i="1"/>
  <c r="R3" i="11"/>
  <c r="BB755" i="1"/>
  <c r="P476" i="1"/>
  <c r="P473" i="1"/>
  <c r="P478" i="1"/>
  <c r="M83" i="10"/>
  <c r="P83" i="10" l="1"/>
  <c r="O83" i="10"/>
  <c r="P474" i="1"/>
  <c r="P479" i="1"/>
  <c r="AX759" i="1"/>
  <c r="AX756" i="1"/>
  <c r="AX315" i="1" s="1"/>
  <c r="AX217" i="1" s="1"/>
  <c r="AX762" i="1"/>
  <c r="AX761" i="1"/>
  <c r="AX760" i="1"/>
  <c r="AX757" i="1"/>
  <c r="AX380" i="1" s="1"/>
  <c r="AX29" i="1" s="1"/>
  <c r="AX758" i="1"/>
  <c r="BG755" i="1"/>
  <c r="S3" i="11"/>
  <c r="AT52" i="1"/>
  <c r="AT23" i="9" s="1"/>
  <c r="AY48" i="1"/>
  <c r="AU48" i="1"/>
  <c r="AT144" i="1"/>
  <c r="AP172" i="1"/>
  <c r="AP170" i="1"/>
  <c r="AH613" i="1"/>
  <c r="AI610" i="1"/>
  <c r="AI611" i="1" s="1"/>
  <c r="AT613" i="1"/>
  <c r="AY610" i="1"/>
  <c r="AU610" i="1"/>
  <c r="AU611" i="1" s="1"/>
  <c r="AZ761" i="1"/>
  <c r="AZ762" i="1"/>
  <c r="AZ760" i="1"/>
  <c r="AZ757" i="1"/>
  <c r="AZ380" i="1" s="1"/>
  <c r="AZ29" i="1" s="1"/>
  <c r="AZ759" i="1"/>
  <c r="AZ758" i="1"/>
  <c r="AZ756" i="1"/>
  <c r="AZ315" i="1" s="1"/>
  <c r="AZ217" i="1" s="1"/>
  <c r="O410" i="1"/>
  <c r="O716" i="1"/>
  <c r="O710" i="1"/>
  <c r="O711" i="1"/>
  <c r="P723" i="1"/>
  <c r="N716" i="1"/>
  <c r="Q716" i="1"/>
  <c r="BC755" i="1"/>
  <c r="BE755" i="1"/>
  <c r="S784" i="1"/>
  <c r="S782" i="1" s="1"/>
  <c r="S779" i="1"/>
  <c r="S772" i="1"/>
  <c r="S786" i="1"/>
  <c r="S777" i="1"/>
  <c r="S775" i="1" s="1"/>
  <c r="S483" i="1" s="1"/>
  <c r="S770" i="1"/>
  <c r="S768" i="1" s="1"/>
  <c r="S482" i="1" s="1"/>
  <c r="AT165" i="1"/>
  <c r="AT169" i="1" s="1"/>
  <c r="O465" i="1"/>
  <c r="O467" i="1"/>
  <c r="AL613" i="1"/>
  <c r="AM610" i="1"/>
  <c r="AM611" i="1" s="1"/>
  <c r="AU122" i="1"/>
  <c r="AU117" i="1"/>
  <c r="AP17" i="1"/>
  <c r="AP29" i="9" s="1"/>
  <c r="AP19" i="1"/>
  <c r="AP31" i="9" s="1"/>
  <c r="AQ17" i="1"/>
  <c r="AQ29" i="9" s="1"/>
  <c r="BB759" i="1"/>
  <c r="BB756" i="1"/>
  <c r="BB315" i="1" s="1"/>
  <c r="BB217" i="1" s="1"/>
  <c r="BB757" i="1"/>
  <c r="BB380" i="1" s="1"/>
  <c r="BB29" i="1" s="1"/>
  <c r="BB758" i="1"/>
  <c r="BB762" i="1"/>
  <c r="BB761" i="1"/>
  <c r="BB760" i="1"/>
  <c r="BD755" i="1"/>
  <c r="P126" i="9"/>
  <c r="P11" i="9"/>
  <c r="AP12" i="1"/>
  <c r="AP8" i="1"/>
  <c r="BF755" i="1"/>
  <c r="AT100" i="1"/>
  <c r="AT25" i="9" s="1"/>
  <c r="AY96" i="1"/>
  <c r="AU96" i="1"/>
  <c r="AT146" i="1"/>
  <c r="AY760" i="1"/>
  <c r="AY758" i="1"/>
  <c r="AY762" i="1"/>
  <c r="AY761" i="1"/>
  <c r="AY759" i="1"/>
  <c r="AY756" i="1"/>
  <c r="AY315" i="1" s="1"/>
  <c r="AY217" i="1" s="1"/>
  <c r="AY757" i="1"/>
  <c r="AY380" i="1" s="1"/>
  <c r="AY29" i="1" s="1"/>
  <c r="P75" i="10"/>
  <c r="O75" i="10"/>
  <c r="T1" i="9"/>
  <c r="T766" i="1"/>
  <c r="U4" i="1"/>
  <c r="T3" i="1"/>
  <c r="T791" i="1"/>
  <c r="T789" i="1" s="1"/>
  <c r="T485" i="1" s="1"/>
  <c r="T792" i="1"/>
  <c r="T793" i="1"/>
  <c r="T4" i="11"/>
  <c r="AP173" i="1"/>
  <c r="S100" i="9"/>
  <c r="R100" i="9"/>
  <c r="Q100" i="9"/>
  <c r="O100" i="9"/>
  <c r="AU77" i="1"/>
  <c r="AU82" i="1"/>
  <c r="AD613" i="1"/>
  <c r="AB550" i="1"/>
  <c r="AA551" i="1"/>
  <c r="AA718" i="1" s="1"/>
  <c r="AP613" i="1"/>
  <c r="AQ610" i="1"/>
  <c r="AQ611" i="1" s="1"/>
  <c r="R484" i="1"/>
  <c r="R486" i="1" s="1"/>
  <c r="R472" i="1" s="1"/>
  <c r="R473" i="1" s="1"/>
  <c r="R474" i="1" s="1"/>
  <c r="R4" i="9"/>
  <c r="R6" i="9" s="1"/>
  <c r="R11" i="9" s="1"/>
  <c r="AQ613" i="1" l="1"/>
  <c r="AR610" i="1"/>
  <c r="AR611" i="1" s="1"/>
  <c r="AC550" i="1"/>
  <c r="AB551" i="1"/>
  <c r="AB718" i="1" s="1"/>
  <c r="AY77" i="1"/>
  <c r="AU162" i="1"/>
  <c r="S103" i="9"/>
  <c r="S107" i="9"/>
  <c r="T784" i="1"/>
  <c r="T782" i="1" s="1"/>
  <c r="T779" i="1"/>
  <c r="T772" i="1"/>
  <c r="T786" i="1"/>
  <c r="T777" i="1"/>
  <c r="T775" i="1" s="1"/>
  <c r="T483" i="1" s="1"/>
  <c r="T770" i="1"/>
  <c r="T768" i="1" s="1"/>
  <c r="T482" i="1" s="1"/>
  <c r="AU102" i="1"/>
  <c r="AU97" i="1"/>
  <c r="AP13" i="1"/>
  <c r="AT12" i="1"/>
  <c r="AT14" i="1" s="1"/>
  <c r="AP14" i="1"/>
  <c r="AQ13" i="1"/>
  <c r="AU123" i="1"/>
  <c r="AY122" i="1"/>
  <c r="AY124" i="1" s="1"/>
  <c r="AU124" i="1"/>
  <c r="AV123" i="1"/>
  <c r="BE762" i="1"/>
  <c r="BE761" i="1"/>
  <c r="BE758" i="1"/>
  <c r="BE760" i="1"/>
  <c r="BE759" i="1"/>
  <c r="BE757" i="1"/>
  <c r="BE380" i="1" s="1"/>
  <c r="BE29" i="1" s="1"/>
  <c r="BE756" i="1"/>
  <c r="BE315" i="1" s="1"/>
  <c r="BE217" i="1" s="1"/>
  <c r="O420" i="1"/>
  <c r="O415" i="1"/>
  <c r="O412" i="1"/>
  <c r="O421" i="1" s="1"/>
  <c r="O134" i="9"/>
  <c r="AT148" i="1"/>
  <c r="AT155" i="1" s="1"/>
  <c r="BD761" i="1"/>
  <c r="BD756" i="1"/>
  <c r="BD315" i="1" s="1"/>
  <c r="BD217" i="1" s="1"/>
  <c r="BD762" i="1"/>
  <c r="BD760" i="1"/>
  <c r="BD757" i="1"/>
  <c r="BD380" i="1" s="1"/>
  <c r="BD29" i="1" s="1"/>
  <c r="BD759" i="1"/>
  <c r="BD758" i="1"/>
  <c r="AM613" i="1"/>
  <c r="AN610" i="1"/>
  <c r="AN611" i="1" s="1"/>
  <c r="S484" i="1"/>
  <c r="S486" i="1" s="1"/>
  <c r="S472" i="1" s="1"/>
  <c r="S473" i="1" s="1"/>
  <c r="S474" i="1" s="1"/>
  <c r="S4" i="9"/>
  <c r="S6" i="9" s="1"/>
  <c r="S11" i="9" s="1"/>
  <c r="BC760" i="1"/>
  <c r="BC757" i="1"/>
  <c r="BC380" i="1" s="1"/>
  <c r="BC29" i="1" s="1"/>
  <c r="BC758" i="1"/>
  <c r="BC762" i="1"/>
  <c r="BC761" i="1"/>
  <c r="BC759" i="1"/>
  <c r="BC756" i="1"/>
  <c r="BC315" i="1" s="1"/>
  <c r="BC217" i="1" s="1"/>
  <c r="AU613" i="1"/>
  <c r="AV610" i="1"/>
  <c r="AV611" i="1" s="1"/>
  <c r="AI613" i="1"/>
  <c r="AU54" i="1"/>
  <c r="AU49" i="1"/>
  <c r="P477" i="1"/>
  <c r="P480" i="1"/>
  <c r="Q107" i="9"/>
  <c r="Q103" i="9"/>
  <c r="T641" i="1"/>
  <c r="T3" i="11"/>
  <c r="O103" i="9"/>
  <c r="O107" i="9"/>
  <c r="AU84" i="1"/>
  <c r="AU83" i="1"/>
  <c r="AY82" i="1"/>
  <c r="AY84" i="1" s="1"/>
  <c r="AV83" i="1"/>
  <c r="R103" i="9"/>
  <c r="R107" i="9"/>
  <c r="U1" i="9"/>
  <c r="U3" i="1"/>
  <c r="V4" i="1"/>
  <c r="U792" i="1"/>
  <c r="U4" i="11"/>
  <c r="BF759" i="1"/>
  <c r="BF757" i="1"/>
  <c r="BF380" i="1" s="1"/>
  <c r="BF29" i="1" s="1"/>
  <c r="BF761" i="1"/>
  <c r="BF756" i="1"/>
  <c r="BF315" i="1" s="1"/>
  <c r="BF217" i="1" s="1"/>
  <c r="BF760" i="1"/>
  <c r="BF758" i="1"/>
  <c r="BF762" i="1"/>
  <c r="P127" i="9"/>
  <c r="P124" i="9"/>
  <c r="AU164" i="1"/>
  <c r="AY117" i="1"/>
  <c r="AT172" i="1"/>
  <c r="AT170" i="1"/>
  <c r="AT173" i="1" s="1"/>
  <c r="BG760" i="1"/>
  <c r="BG758" i="1"/>
  <c r="BG759" i="1"/>
  <c r="BG756" i="1"/>
  <c r="BG315" i="1" s="1"/>
  <c r="BG217" i="1" s="1"/>
  <c r="BG757" i="1"/>
  <c r="BG380" i="1" s="1"/>
  <c r="BG29" i="1" s="1"/>
  <c r="BG762" i="1"/>
  <c r="BG761" i="1"/>
  <c r="AT171" i="1"/>
  <c r="AR613" i="1" l="1"/>
  <c r="AS610" i="1"/>
  <c r="AS611" i="1" s="1"/>
  <c r="AU161" i="1"/>
  <c r="AY49" i="1"/>
  <c r="AN613" i="1"/>
  <c r="AT9" i="1"/>
  <c r="AU181" i="1"/>
  <c r="AT156" i="1"/>
  <c r="AT154" i="1"/>
  <c r="O53" i="9"/>
  <c r="O422" i="1"/>
  <c r="O54" i="9" s="1"/>
  <c r="O84" i="9" s="1"/>
  <c r="P724" i="1"/>
  <c r="T484" i="1"/>
  <c r="T486" i="1" s="1"/>
  <c r="T472" i="1" s="1"/>
  <c r="T473" i="1" s="1"/>
  <c r="T474" i="1" s="1"/>
  <c r="T4" i="9"/>
  <c r="T6" i="9" s="1"/>
  <c r="T11" i="9" s="1"/>
  <c r="AY162" i="1"/>
  <c r="AY78" i="1"/>
  <c r="V1" i="9"/>
  <c r="V3" i="1"/>
  <c r="W4" i="1"/>
  <c r="V792" i="1"/>
  <c r="V4" i="11"/>
  <c r="AV613" i="1"/>
  <c r="AW610" i="1"/>
  <c r="AW611" i="1" s="1"/>
  <c r="T399" i="1"/>
  <c r="R463" i="1"/>
  <c r="Q640" i="1"/>
  <c r="T640" i="1"/>
  <c r="S463" i="1"/>
  <c r="R640" i="1"/>
  <c r="Q463" i="1"/>
  <c r="S640" i="1"/>
  <c r="R639" i="1"/>
  <c r="Q461" i="1"/>
  <c r="S461" i="1"/>
  <c r="T461" i="1"/>
  <c r="Q639" i="1"/>
  <c r="T639" i="1"/>
  <c r="R461" i="1"/>
  <c r="S639" i="1"/>
  <c r="R465" i="1"/>
  <c r="S465" i="1"/>
  <c r="Q465" i="1"/>
  <c r="U3" i="11"/>
  <c r="Q642" i="1"/>
  <c r="Q641" i="1"/>
  <c r="R641" i="1"/>
  <c r="R642" i="1"/>
  <c r="S642" i="1"/>
  <c r="S641" i="1"/>
  <c r="AU55" i="1"/>
  <c r="AY54" i="1"/>
  <c r="AY56" i="1" s="1"/>
  <c r="AU56" i="1"/>
  <c r="AV55" i="1"/>
  <c r="AT153" i="1"/>
  <c r="AT157" i="1" s="1"/>
  <c r="AU163" i="1"/>
  <c r="AY97" i="1"/>
  <c r="AY164" i="1"/>
  <c r="AY118" i="1"/>
  <c r="U766" i="1"/>
  <c r="T642" i="1"/>
  <c r="AU103" i="1"/>
  <c r="AY102" i="1"/>
  <c r="AY104" i="1" s="1"/>
  <c r="AU104" i="1"/>
  <c r="AV103" i="1"/>
  <c r="AD550" i="1"/>
  <c r="AC551" i="1"/>
  <c r="AC718" i="1" s="1"/>
  <c r="AY163" i="1" l="1"/>
  <c r="AY98" i="1"/>
  <c r="T462" i="1"/>
  <c r="T40" i="9"/>
  <c r="T42" i="9" s="1"/>
  <c r="T47" i="9" s="1"/>
  <c r="T402" i="1"/>
  <c r="AS613" i="1"/>
  <c r="U786" i="1"/>
  <c r="U777" i="1"/>
  <c r="U775" i="1" s="1"/>
  <c r="U483" i="1" s="1"/>
  <c r="U770" i="1"/>
  <c r="U768" i="1" s="1"/>
  <c r="U482" i="1" s="1"/>
  <c r="U784" i="1"/>
  <c r="U782" i="1" s="1"/>
  <c r="U779" i="1"/>
  <c r="U772" i="1"/>
  <c r="U791" i="1"/>
  <c r="U789" i="1" s="1"/>
  <c r="U485" i="1" s="1"/>
  <c r="U793" i="1"/>
  <c r="W1" i="9"/>
  <c r="W766" i="1"/>
  <c r="W793" i="1" s="1"/>
  <c r="W3" i="1"/>
  <c r="X4" i="1"/>
  <c r="W792" i="1"/>
  <c r="W4" i="11"/>
  <c r="AY80" i="1"/>
  <c r="AY24" i="9" s="1"/>
  <c r="BD76" i="1"/>
  <c r="AZ76" i="1"/>
  <c r="AY145" i="1"/>
  <c r="AY147" i="1"/>
  <c r="AY120" i="1"/>
  <c r="AY26" i="9" s="1"/>
  <c r="BD116" i="1"/>
  <c r="AZ116" i="1"/>
  <c r="AW613" i="1"/>
  <c r="AX610" i="1"/>
  <c r="V3" i="11"/>
  <c r="AY181" i="1"/>
  <c r="AY16" i="1" s="1"/>
  <c r="AY19" i="1" s="1"/>
  <c r="AY31" i="9" s="1"/>
  <c r="AU16" i="1"/>
  <c r="AY161" i="1"/>
  <c r="AY50" i="1"/>
  <c r="AE550" i="1"/>
  <c r="AE551" i="1" s="1"/>
  <c r="AD551" i="1"/>
  <c r="AD718" i="1" s="1"/>
  <c r="V766" i="1"/>
  <c r="O118" i="9"/>
  <c r="O133" i="9"/>
  <c r="O94" i="9"/>
  <c r="AT8" i="1"/>
  <c r="AY7" i="1"/>
  <c r="AU7" i="1"/>
  <c r="AT11" i="1"/>
  <c r="AT27" i="9" s="1"/>
  <c r="AU165" i="1"/>
  <c r="AU171" i="1" s="1"/>
  <c r="M42" i="10"/>
  <c r="P42" i="10" l="1"/>
  <c r="O42" i="10"/>
  <c r="AU169" i="1"/>
  <c r="AF550" i="1"/>
  <c r="AE718" i="1"/>
  <c r="AZ117" i="1"/>
  <c r="AZ118" i="1"/>
  <c r="X1" i="9"/>
  <c r="X766" i="1"/>
  <c r="X3" i="1"/>
  <c r="Y4" i="1"/>
  <c r="X793" i="1"/>
  <c r="X792" i="1"/>
  <c r="X4" i="11"/>
  <c r="T48" i="9"/>
  <c r="T99" i="9"/>
  <c r="AU170" i="1"/>
  <c r="AU172" i="1"/>
  <c r="V786" i="1"/>
  <c r="V777" i="1"/>
  <c r="V775" i="1" s="1"/>
  <c r="V483" i="1" s="1"/>
  <c r="V770" i="1"/>
  <c r="V768" i="1" s="1"/>
  <c r="V482" i="1" s="1"/>
  <c r="V784" i="1"/>
  <c r="V782" i="1" s="1"/>
  <c r="V779" i="1"/>
  <c r="V772" i="1"/>
  <c r="V791" i="1"/>
  <c r="V789" i="1" s="1"/>
  <c r="V485" i="1" s="1"/>
  <c r="V793" i="1"/>
  <c r="AY144" i="1"/>
  <c r="AY52" i="1"/>
  <c r="AY23" i="9" s="1"/>
  <c r="BD48" i="1"/>
  <c r="AZ48" i="1"/>
  <c r="AZ77" i="1"/>
  <c r="AZ78" i="1" s="1"/>
  <c r="W3" i="11"/>
  <c r="U484" i="1"/>
  <c r="U486" i="1" s="1"/>
  <c r="U472" i="1" s="1"/>
  <c r="U4" i="9"/>
  <c r="T463" i="1"/>
  <c r="T464" i="1"/>
  <c r="O95" i="9"/>
  <c r="O98" i="9" s="1"/>
  <c r="R95" i="9"/>
  <c r="R98" i="9" s="1"/>
  <c r="S95" i="9"/>
  <c r="S98" i="9" s="1"/>
  <c r="Q95" i="9"/>
  <c r="Q98" i="9" s="1"/>
  <c r="AY165" i="1"/>
  <c r="AY169" i="1" s="1"/>
  <c r="W784" i="1"/>
  <c r="W782" i="1" s="1"/>
  <c r="W779" i="1"/>
  <c r="W772" i="1"/>
  <c r="W786" i="1"/>
  <c r="W777" i="1"/>
  <c r="W775" i="1" s="1"/>
  <c r="W483" i="1" s="1"/>
  <c r="W770" i="1"/>
  <c r="W768" i="1" s="1"/>
  <c r="W482" i="1" s="1"/>
  <c r="AY146" i="1"/>
  <c r="AY100" i="1"/>
  <c r="AY25" i="9" s="1"/>
  <c r="BD96" i="1"/>
  <c r="AZ96" i="1"/>
  <c r="AU8" i="1"/>
  <c r="AU12" i="1"/>
  <c r="AU17" i="1"/>
  <c r="AU29" i="9" s="1"/>
  <c r="AU19" i="1"/>
  <c r="AU31" i="9" s="1"/>
  <c r="AV17" i="1"/>
  <c r="AV29" i="9" s="1"/>
  <c r="W791" i="1"/>
  <c r="W789" i="1" s="1"/>
  <c r="W485" i="1" s="1"/>
  <c r="T406" i="1"/>
  <c r="T418" i="1"/>
  <c r="T417" i="1"/>
  <c r="AY171" i="1"/>
  <c r="U476" i="1" l="1"/>
  <c r="U473" i="1"/>
  <c r="U478" i="1"/>
  <c r="AZ145" i="1"/>
  <c r="AZ82" i="1"/>
  <c r="AZ80" i="1"/>
  <c r="AZ24" i="9" s="1"/>
  <c r="BA76" i="1"/>
  <c r="W484" i="1"/>
  <c r="W486" i="1" s="1"/>
  <c r="W472" i="1" s="1"/>
  <c r="W473" i="1" s="1"/>
  <c r="W474" i="1" s="1"/>
  <c r="W4" i="9"/>
  <c r="W6" i="9" s="1"/>
  <c r="W11" i="9" s="1"/>
  <c r="T465" i="1"/>
  <c r="T467" i="1"/>
  <c r="Y1" i="9"/>
  <c r="Y3" i="1"/>
  <c r="Y766" i="1" s="1"/>
  <c r="Z4" i="1"/>
  <c r="Y792" i="1"/>
  <c r="Y4" i="11"/>
  <c r="AG550" i="1"/>
  <c r="AF551" i="1"/>
  <c r="AF718" i="1" s="1"/>
  <c r="W100" i="9"/>
  <c r="T100" i="9"/>
  <c r="V100" i="9"/>
  <c r="X100" i="9"/>
  <c r="X3" i="11"/>
  <c r="AZ122" i="1"/>
  <c r="AZ147" i="1"/>
  <c r="AZ120" i="1"/>
  <c r="AZ26" i="9" s="1"/>
  <c r="BA116" i="1"/>
  <c r="AU173" i="1"/>
  <c r="AU13" i="1"/>
  <c r="AY12" i="1"/>
  <c r="AY14" i="1" s="1"/>
  <c r="AU14" i="1"/>
  <c r="AV13" i="1"/>
  <c r="T410" i="1"/>
  <c r="T710" i="1"/>
  <c r="T716" i="1"/>
  <c r="T711" i="1"/>
  <c r="V716" i="1"/>
  <c r="U723" i="1"/>
  <c r="S716" i="1"/>
  <c r="AZ97" i="1"/>
  <c r="U6" i="9"/>
  <c r="U125" i="9"/>
  <c r="U123" i="9"/>
  <c r="AY148" i="1"/>
  <c r="AY153" i="1"/>
  <c r="X784" i="1"/>
  <c r="X782" i="1" s="1"/>
  <c r="X779" i="1"/>
  <c r="X772" i="1"/>
  <c r="X786" i="1"/>
  <c r="X777" i="1"/>
  <c r="X775" i="1" s="1"/>
  <c r="X483" i="1" s="1"/>
  <c r="X770" i="1"/>
  <c r="X768" i="1" s="1"/>
  <c r="X482" i="1" s="1"/>
  <c r="AZ164" i="1"/>
  <c r="AY172" i="1"/>
  <c r="AY170" i="1"/>
  <c r="AY173" i="1" s="1"/>
  <c r="AZ162" i="1"/>
  <c r="AZ50" i="1"/>
  <c r="AZ49" i="1"/>
  <c r="V484" i="1"/>
  <c r="V486" i="1" s="1"/>
  <c r="V472" i="1" s="1"/>
  <c r="V473" i="1" s="1"/>
  <c r="V474" i="1" s="1"/>
  <c r="V4" i="9"/>
  <c r="V6" i="9" s="1"/>
  <c r="V11" i="9" s="1"/>
  <c r="X791" i="1"/>
  <c r="X789" i="1" s="1"/>
  <c r="X485" i="1" s="1"/>
  <c r="Y786" i="1" l="1"/>
  <c r="Y777" i="1"/>
  <c r="Y775" i="1" s="1"/>
  <c r="Y483" i="1" s="1"/>
  <c r="Y770" i="1"/>
  <c r="Y768" i="1" s="1"/>
  <c r="Y482" i="1" s="1"/>
  <c r="Y784" i="1"/>
  <c r="Y782" i="1" s="1"/>
  <c r="Y779" i="1"/>
  <c r="Y772" i="1"/>
  <c r="Y793" i="1"/>
  <c r="Y791" i="1"/>
  <c r="Y789" i="1" s="1"/>
  <c r="Y485" i="1" s="1"/>
  <c r="X484" i="1"/>
  <c r="X486" i="1" s="1"/>
  <c r="X4" i="9"/>
  <c r="X6" i="9" s="1"/>
  <c r="X11" i="9" s="1"/>
  <c r="AZ131" i="1"/>
  <c r="AZ124" i="1"/>
  <c r="AZ123" i="1"/>
  <c r="X107" i="9"/>
  <c r="X103" i="9"/>
  <c r="BA77" i="1"/>
  <c r="U11" i="9"/>
  <c r="U126" i="9"/>
  <c r="BA117" i="1"/>
  <c r="BA118" i="1" s="1"/>
  <c r="V107" i="9"/>
  <c r="V103" i="9"/>
  <c r="AH550" i="1"/>
  <c r="AG551" i="1"/>
  <c r="AG718" i="1" s="1"/>
  <c r="U479" i="1"/>
  <c r="U474" i="1"/>
  <c r="AZ161" i="1"/>
  <c r="AY9" i="1"/>
  <c r="AY156" i="1"/>
  <c r="AY154" i="1"/>
  <c r="AY157" i="1" s="1"/>
  <c r="AZ163" i="1"/>
  <c r="T415" i="1"/>
  <c r="T412" i="1"/>
  <c r="T421" i="1" s="1"/>
  <c r="T420" i="1"/>
  <c r="T134" i="9"/>
  <c r="T107" i="9"/>
  <c r="T103" i="9"/>
  <c r="Z1" i="9"/>
  <c r="Z766" i="1"/>
  <c r="Z3" i="1"/>
  <c r="Y642" i="1" s="1"/>
  <c r="AA4" i="1"/>
  <c r="Z792" i="1"/>
  <c r="Z791" i="1"/>
  <c r="Z789" i="1" s="1"/>
  <c r="Z485" i="1" s="1"/>
  <c r="Z4" i="11"/>
  <c r="AZ91" i="1"/>
  <c r="AZ84" i="1"/>
  <c r="AZ83" i="1"/>
  <c r="X472" i="1"/>
  <c r="X473" i="1" s="1"/>
  <c r="X474" i="1" s="1"/>
  <c r="AZ54" i="1"/>
  <c r="AZ52" i="1"/>
  <c r="AZ23" i="9" s="1"/>
  <c r="BA48" i="1"/>
  <c r="AZ144" i="1"/>
  <c r="AZ98" i="1"/>
  <c r="AY155" i="1"/>
  <c r="W103" i="9"/>
  <c r="W107" i="9"/>
  <c r="Y641" i="1"/>
  <c r="Y3" i="11"/>
  <c r="BA147" i="1" l="1"/>
  <c r="BA120" i="1"/>
  <c r="BA26" i="9" s="1"/>
  <c r="BB116" i="1"/>
  <c r="BA122" i="1"/>
  <c r="BA49" i="1"/>
  <c r="BA50" i="1"/>
  <c r="AA1" i="9"/>
  <c r="AA3" i="1"/>
  <c r="AA766" i="1" s="1"/>
  <c r="AB4" i="1"/>
  <c r="AA792" i="1"/>
  <c r="AA4" i="11"/>
  <c r="AZ165" i="1"/>
  <c r="AZ169" i="1" s="1"/>
  <c r="AZ189" i="1"/>
  <c r="AZ133" i="1"/>
  <c r="AZ17" i="9" s="1"/>
  <c r="AZ132" i="1"/>
  <c r="Y484" i="1"/>
  <c r="Y486" i="1" s="1"/>
  <c r="Y472" i="1" s="1"/>
  <c r="Y473" i="1" s="1"/>
  <c r="Y474" i="1" s="1"/>
  <c r="Y4" i="9"/>
  <c r="Y6" i="9" s="1"/>
  <c r="Y11" i="9" s="1"/>
  <c r="Y399" i="1"/>
  <c r="V463" i="1"/>
  <c r="W640" i="1"/>
  <c r="W463" i="1"/>
  <c r="X640" i="1"/>
  <c r="X463" i="1"/>
  <c r="V640" i="1"/>
  <c r="X639" i="1"/>
  <c r="V639" i="1"/>
  <c r="X461" i="1"/>
  <c r="Y640" i="1"/>
  <c r="W639" i="1"/>
  <c r="Y639" i="1"/>
  <c r="W461" i="1"/>
  <c r="V461" i="1"/>
  <c r="Y461" i="1"/>
  <c r="X465" i="1"/>
  <c r="V465" i="1"/>
  <c r="W465" i="1"/>
  <c r="Z3" i="11"/>
  <c r="V642" i="1"/>
  <c r="V641" i="1"/>
  <c r="W641" i="1"/>
  <c r="W642" i="1"/>
  <c r="X641" i="1"/>
  <c r="X642" i="1"/>
  <c r="T53" i="9"/>
  <c r="T422" i="1"/>
  <c r="T54" i="9" s="1"/>
  <c r="T84" i="9" s="1"/>
  <c r="U724" i="1"/>
  <c r="AI550" i="1"/>
  <c r="AH551" i="1"/>
  <c r="AH718" i="1" s="1"/>
  <c r="BA164" i="1"/>
  <c r="AZ102" i="1"/>
  <c r="AZ100" i="1"/>
  <c r="AZ25" i="9" s="1"/>
  <c r="BA96" i="1"/>
  <c r="AZ146" i="1"/>
  <c r="AZ71" i="1"/>
  <c r="AZ56" i="1"/>
  <c r="AZ55" i="1"/>
  <c r="AZ93" i="1"/>
  <c r="AZ15" i="9" s="1"/>
  <c r="AZ92" i="1"/>
  <c r="AZ187" i="1"/>
  <c r="Z786" i="1"/>
  <c r="Z777" i="1"/>
  <c r="Z775" i="1" s="1"/>
  <c r="Z483" i="1" s="1"/>
  <c r="Z770" i="1"/>
  <c r="Z768" i="1" s="1"/>
  <c r="Z482" i="1" s="1"/>
  <c r="Z784" i="1"/>
  <c r="Z782" i="1" s="1"/>
  <c r="Z779" i="1"/>
  <c r="Z772" i="1"/>
  <c r="AZ171" i="1"/>
  <c r="AY11" i="1"/>
  <c r="AY27" i="9" s="1"/>
  <c r="AY8" i="1"/>
  <c r="BD7" i="1"/>
  <c r="AZ7" i="1"/>
  <c r="U477" i="1"/>
  <c r="U480" i="1"/>
  <c r="BA162" i="1"/>
  <c r="AZ153" i="1"/>
  <c r="AZ148" i="1"/>
  <c r="Z793" i="1"/>
  <c r="U124" i="9"/>
  <c r="U127" i="9"/>
  <c r="BA78" i="1"/>
  <c r="AA784" i="1" l="1"/>
  <c r="AA782" i="1" s="1"/>
  <c r="AA779" i="1"/>
  <c r="AA772" i="1"/>
  <c r="AA786" i="1"/>
  <c r="AA777" i="1"/>
  <c r="AA775" i="1" s="1"/>
  <c r="AA483" i="1" s="1"/>
  <c r="AA770" i="1"/>
  <c r="AA768" i="1" s="1"/>
  <c r="AA482" i="1" s="1"/>
  <c r="AA793" i="1"/>
  <c r="AA791" i="1"/>
  <c r="AA789" i="1" s="1"/>
  <c r="AA485" i="1" s="1"/>
  <c r="BA97" i="1"/>
  <c r="BA98" i="1"/>
  <c r="BA131" i="1"/>
  <c r="BA124" i="1"/>
  <c r="BA123" i="1"/>
  <c r="T133" i="9"/>
  <c r="T118" i="9"/>
  <c r="T94" i="9"/>
  <c r="AZ172" i="1"/>
  <c r="AZ170" i="1"/>
  <c r="AZ173" i="1" s="1"/>
  <c r="BB117" i="1"/>
  <c r="BA145" i="1"/>
  <c r="BA82" i="1"/>
  <c r="BA80" i="1"/>
  <c r="BA24" i="9" s="1"/>
  <c r="BB76" i="1"/>
  <c r="AZ9" i="1"/>
  <c r="AZ154" i="1"/>
  <c r="AZ156" i="1"/>
  <c r="AZ73" i="1"/>
  <c r="AZ14" i="9" s="1"/>
  <c r="AZ72" i="1"/>
  <c r="AZ186" i="1"/>
  <c r="AZ111" i="1"/>
  <c r="AZ104" i="1"/>
  <c r="AZ103" i="1"/>
  <c r="AJ550" i="1"/>
  <c r="AJ551" i="1" s="1"/>
  <c r="AI551" i="1"/>
  <c r="AI718" i="1" s="1"/>
  <c r="AB1" i="9"/>
  <c r="AB766" i="1"/>
  <c r="AB791" i="1" s="1"/>
  <c r="AB789" i="1" s="1"/>
  <c r="AB485" i="1" s="1"/>
  <c r="AC4" i="1"/>
  <c r="AB3" i="1"/>
  <c r="AB793" i="1"/>
  <c r="AB792" i="1"/>
  <c r="AB4" i="11"/>
  <c r="BA54" i="1"/>
  <c r="BA52" i="1"/>
  <c r="BA23" i="9" s="1"/>
  <c r="BB48" i="1"/>
  <c r="BA144" i="1"/>
  <c r="Z484" i="1"/>
  <c r="Z486" i="1" s="1"/>
  <c r="Z472" i="1" s="1"/>
  <c r="Z4" i="9"/>
  <c r="AZ155" i="1"/>
  <c r="AZ157" i="1" s="1"/>
  <c r="Y462" i="1"/>
  <c r="Y40" i="9"/>
  <c r="Y42" i="9" s="1"/>
  <c r="Y47" i="9" s="1"/>
  <c r="Y402" i="1"/>
  <c r="AA3" i="11"/>
  <c r="BA161" i="1"/>
  <c r="Z6" i="9" l="1"/>
  <c r="Z125" i="9"/>
  <c r="Z123" i="9"/>
  <c r="Y48" i="9"/>
  <c r="Y99" i="9"/>
  <c r="Z476" i="1"/>
  <c r="Z473" i="1"/>
  <c r="Z478" i="1"/>
  <c r="BA56" i="1"/>
  <c r="BA55" i="1"/>
  <c r="BA71" i="1"/>
  <c r="BA91" i="1"/>
  <c r="BA84" i="1"/>
  <c r="BA83" i="1"/>
  <c r="BA163" i="1"/>
  <c r="Y463" i="1"/>
  <c r="Y464" i="1"/>
  <c r="AB3" i="11"/>
  <c r="AZ188" i="1"/>
  <c r="AZ113" i="1"/>
  <c r="AZ16" i="9" s="1"/>
  <c r="AZ112" i="1"/>
  <c r="AZ11" i="1"/>
  <c r="AZ27" i="9" s="1"/>
  <c r="AZ10" i="1"/>
  <c r="AZ8" i="1"/>
  <c r="BA7" i="1"/>
  <c r="AZ12" i="1"/>
  <c r="BA189" i="1"/>
  <c r="BA133" i="1"/>
  <c r="BA17" i="9" s="1"/>
  <c r="BA132" i="1"/>
  <c r="BA169" i="1"/>
  <c r="BA165" i="1"/>
  <c r="BB49" i="1"/>
  <c r="BB50" i="1"/>
  <c r="AC1" i="9"/>
  <c r="AC766" i="1"/>
  <c r="AC3" i="1"/>
  <c r="AD4" i="1"/>
  <c r="AC791" i="1"/>
  <c r="AC789" i="1" s="1"/>
  <c r="AC485" i="1" s="1"/>
  <c r="AC793" i="1"/>
  <c r="AC792" i="1"/>
  <c r="AC4" i="11"/>
  <c r="AK550" i="1"/>
  <c r="AJ718" i="1"/>
  <c r="BB77" i="1"/>
  <c r="BB78" i="1"/>
  <c r="BB164" i="1"/>
  <c r="T95" i="9"/>
  <c r="T98" i="9" s="1"/>
  <c r="V95" i="9"/>
  <c r="V98" i="9" s="1"/>
  <c r="W95" i="9"/>
  <c r="W98" i="9" s="1"/>
  <c r="X95" i="9"/>
  <c r="X98" i="9" s="1"/>
  <c r="AA484" i="1"/>
  <c r="AA486" i="1" s="1"/>
  <c r="AA4" i="9"/>
  <c r="AA6" i="9" s="1"/>
  <c r="AA11" i="9" s="1"/>
  <c r="Y406" i="1"/>
  <c r="Y417" i="1"/>
  <c r="Y418" i="1"/>
  <c r="AB784" i="1"/>
  <c r="AB782" i="1" s="1"/>
  <c r="AB779" i="1"/>
  <c r="AB772" i="1"/>
  <c r="AB786" i="1"/>
  <c r="AB777" i="1"/>
  <c r="AB775" i="1" s="1"/>
  <c r="AB483" i="1" s="1"/>
  <c r="AB770" i="1"/>
  <c r="AB768" i="1" s="1"/>
  <c r="AB482" i="1" s="1"/>
  <c r="AZ190" i="1"/>
  <c r="BB118" i="1"/>
  <c r="BA102" i="1"/>
  <c r="BA100" i="1"/>
  <c r="BA25" i="9" s="1"/>
  <c r="BB96" i="1"/>
  <c r="BA146" i="1"/>
  <c r="AA472" i="1"/>
  <c r="AA473" i="1" s="1"/>
  <c r="AA474" i="1" s="1"/>
  <c r="BB122" i="1" l="1"/>
  <c r="BB147" i="1"/>
  <c r="BB120" i="1"/>
  <c r="BB26" i="9" s="1"/>
  <c r="BC116" i="1"/>
  <c r="BB97" i="1"/>
  <c r="BB98" i="1" s="1"/>
  <c r="AZ181" i="1"/>
  <c r="AZ192" i="1"/>
  <c r="AZ201" i="1" s="1"/>
  <c r="AZ21" i="1"/>
  <c r="BB162" i="1"/>
  <c r="AC3" i="11"/>
  <c r="BB161" i="1"/>
  <c r="AZ14" i="1"/>
  <c r="AZ13" i="1"/>
  <c r="BA148" i="1"/>
  <c r="AC786" i="1"/>
  <c r="AC777" i="1"/>
  <c r="AC775" i="1" s="1"/>
  <c r="AC483" i="1" s="1"/>
  <c r="AC770" i="1"/>
  <c r="AC768" i="1" s="1"/>
  <c r="AC482" i="1" s="1"/>
  <c r="AC784" i="1"/>
  <c r="AC782" i="1" s="1"/>
  <c r="AC779" i="1"/>
  <c r="AC772" i="1"/>
  <c r="BA172" i="1"/>
  <c r="BA170" i="1"/>
  <c r="BA173" i="1" s="1"/>
  <c r="BA171" i="1"/>
  <c r="BA187" i="1"/>
  <c r="BA93" i="1"/>
  <c r="BA15" i="9" s="1"/>
  <c r="BA92" i="1"/>
  <c r="Y100" i="9"/>
  <c r="AC100" i="9"/>
  <c r="AB100" i="9"/>
  <c r="AA100" i="9"/>
  <c r="BA111" i="1"/>
  <c r="BA104" i="1"/>
  <c r="BA103" i="1"/>
  <c r="Y410" i="1"/>
  <c r="Y716" i="1"/>
  <c r="Y711" i="1"/>
  <c r="Y710" i="1"/>
  <c r="Z723" i="1"/>
  <c r="AA716" i="1"/>
  <c r="X716" i="1"/>
  <c r="AL550" i="1"/>
  <c r="AK551" i="1"/>
  <c r="AK718" i="1" s="1"/>
  <c r="Y465" i="1"/>
  <c r="Y467" i="1"/>
  <c r="Z126" i="9"/>
  <c r="Z11" i="9"/>
  <c r="AB484" i="1"/>
  <c r="AB486" i="1" s="1"/>
  <c r="AB472" i="1" s="1"/>
  <c r="AB473" i="1" s="1"/>
  <c r="AB474" i="1" s="1"/>
  <c r="AB4" i="9"/>
  <c r="AB6" i="9" s="1"/>
  <c r="AB11" i="9" s="1"/>
  <c r="BB82" i="1"/>
  <c r="BB80" i="1"/>
  <c r="BB24" i="9" s="1"/>
  <c r="BC76" i="1"/>
  <c r="BB145" i="1"/>
  <c r="AD1" i="9"/>
  <c r="AD3" i="1"/>
  <c r="AD766" i="1" s="1"/>
  <c r="AE4" i="1"/>
  <c r="AD792" i="1"/>
  <c r="AD4" i="11"/>
  <c r="BB52" i="1"/>
  <c r="BB23" i="9" s="1"/>
  <c r="BC48" i="1"/>
  <c r="BB144" i="1"/>
  <c r="BB54" i="1"/>
  <c r="AZ199" i="1"/>
  <c r="BA73" i="1"/>
  <c r="BA14" i="9" s="1"/>
  <c r="BA72" i="1"/>
  <c r="BA186" i="1"/>
  <c r="Z479" i="1"/>
  <c r="Z474" i="1"/>
  <c r="AD786" i="1" l="1"/>
  <c r="AD777" i="1"/>
  <c r="AD775" i="1" s="1"/>
  <c r="AD483" i="1" s="1"/>
  <c r="AD770" i="1"/>
  <c r="AD768" i="1" s="1"/>
  <c r="AD482" i="1" s="1"/>
  <c r="AD784" i="1"/>
  <c r="AD782" i="1" s="1"/>
  <c r="AD779" i="1"/>
  <c r="AD772" i="1"/>
  <c r="AD793" i="1"/>
  <c r="AD791" i="1"/>
  <c r="AD789" i="1" s="1"/>
  <c r="AD485" i="1" s="1"/>
  <c r="BB100" i="1"/>
  <c r="BB25" i="9" s="1"/>
  <c r="BC96" i="1"/>
  <c r="BB146" i="1"/>
  <c r="BB102" i="1"/>
  <c r="BC49" i="1"/>
  <c r="Z127" i="9"/>
  <c r="Z124" i="9"/>
  <c r="AM550" i="1"/>
  <c r="AL551" i="1"/>
  <c r="AL718" i="1" s="1"/>
  <c r="Y412" i="1"/>
  <c r="Y421" i="1" s="1"/>
  <c r="Y420" i="1"/>
  <c r="Y415" i="1"/>
  <c r="Y134" i="9"/>
  <c r="BA188" i="1"/>
  <c r="BA113" i="1"/>
  <c r="BA16" i="9" s="1"/>
  <c r="BA112" i="1"/>
  <c r="Y103" i="9"/>
  <c r="Y107" i="9"/>
  <c r="BB91" i="1"/>
  <c r="BB84" i="1"/>
  <c r="BB83" i="1"/>
  <c r="AA103" i="9"/>
  <c r="AA107" i="9"/>
  <c r="AZ23" i="1"/>
  <c r="AZ18" i="9" s="1"/>
  <c r="AZ28" i="1"/>
  <c r="AZ22" i="1"/>
  <c r="BB156" i="1"/>
  <c r="BA190" i="1"/>
  <c r="BB56" i="1"/>
  <c r="BB55" i="1"/>
  <c r="BB71" i="1"/>
  <c r="AE1" i="9"/>
  <c r="AE766" i="1"/>
  <c r="AE3" i="1"/>
  <c r="AF4" i="1"/>
  <c r="AE792" i="1"/>
  <c r="AE791" i="1"/>
  <c r="AE789" i="1" s="1"/>
  <c r="AE485" i="1" s="1"/>
  <c r="AE4" i="11"/>
  <c r="AB103" i="9"/>
  <c r="AB107" i="9"/>
  <c r="AC484" i="1"/>
  <c r="AC486" i="1" s="1"/>
  <c r="AC472" i="1" s="1"/>
  <c r="AC473" i="1" s="1"/>
  <c r="AC474" i="1" s="1"/>
  <c r="AC4" i="9"/>
  <c r="AC6" i="9" s="1"/>
  <c r="AC11" i="9" s="1"/>
  <c r="BA9" i="1"/>
  <c r="BA156" i="1"/>
  <c r="BA154" i="1"/>
  <c r="BA153" i="1"/>
  <c r="AZ714" i="1"/>
  <c r="AZ379" i="1"/>
  <c r="AZ202" i="1"/>
  <c r="AZ203" i="1" s="1"/>
  <c r="AZ200" i="1"/>
  <c r="AZ198" i="1"/>
  <c r="AZ197" i="1"/>
  <c r="BB163" i="1"/>
  <c r="BB165" i="1" s="1"/>
  <c r="BB131" i="1"/>
  <c r="BB124" i="1"/>
  <c r="BB123" i="1"/>
  <c r="Z477" i="1"/>
  <c r="Z480" i="1"/>
  <c r="BB153" i="1"/>
  <c r="BB148" i="1"/>
  <c r="BB9" i="1" s="1"/>
  <c r="AD642" i="1"/>
  <c r="AD641" i="1"/>
  <c r="AD3" i="11"/>
  <c r="BC77" i="1"/>
  <c r="BC78" i="1"/>
  <c r="AC103" i="9"/>
  <c r="AC107" i="9"/>
  <c r="AZ16" i="1"/>
  <c r="BC117" i="1"/>
  <c r="BA155" i="1"/>
  <c r="BB172" i="1" l="1"/>
  <c r="BB169" i="1"/>
  <c r="BB170" i="1"/>
  <c r="BC164" i="1"/>
  <c r="BD117" i="1"/>
  <c r="BA10" i="1"/>
  <c r="BA8" i="1"/>
  <c r="BB7" i="1"/>
  <c r="BA12" i="1"/>
  <c r="BA11" i="1"/>
  <c r="BA27" i="9" s="1"/>
  <c r="AE784" i="1"/>
  <c r="AE782" i="1" s="1"/>
  <c r="AE779" i="1"/>
  <c r="AE772" i="1"/>
  <c r="AE786" i="1"/>
  <c r="AE777" i="1"/>
  <c r="AE775" i="1" s="1"/>
  <c r="AE483" i="1" s="1"/>
  <c r="AE770" i="1"/>
  <c r="AE768" i="1" s="1"/>
  <c r="AE482" i="1" s="1"/>
  <c r="BB111" i="1"/>
  <c r="BB104" i="1"/>
  <c r="BB103" i="1"/>
  <c r="BC118" i="1"/>
  <c r="BC162" i="1"/>
  <c r="BD77" i="1"/>
  <c r="BB8" i="1"/>
  <c r="BC7" i="1"/>
  <c r="BB12" i="1"/>
  <c r="BB11" i="1"/>
  <c r="BB27" i="9" s="1"/>
  <c r="BB10" i="1"/>
  <c r="BA157" i="1"/>
  <c r="BB154" i="1"/>
  <c r="BB93" i="1"/>
  <c r="BB15" i="9" s="1"/>
  <c r="BB92" i="1"/>
  <c r="BB187" i="1"/>
  <c r="BB155" i="1"/>
  <c r="BB157" i="1" s="1"/>
  <c r="BB171" i="1"/>
  <c r="AF1" i="9"/>
  <c r="AF766" i="1"/>
  <c r="AG4" i="1"/>
  <c r="AF3" i="1"/>
  <c r="AF793" i="1"/>
  <c r="AF791" i="1"/>
  <c r="AF789" i="1" s="1"/>
  <c r="AF485" i="1" s="1"/>
  <c r="AF792" i="1"/>
  <c r="AF4" i="11"/>
  <c r="BA192" i="1"/>
  <c r="BA201" i="1"/>
  <c r="BA181" i="1"/>
  <c r="BA21" i="1"/>
  <c r="AZ32" i="1"/>
  <c r="AZ20" i="9" s="1"/>
  <c r="AZ30" i="1"/>
  <c r="BC161" i="1"/>
  <c r="BD49" i="1"/>
  <c r="BC97" i="1"/>
  <c r="AZ19" i="1"/>
  <c r="AZ31" i="9" s="1"/>
  <c r="AZ17" i="1"/>
  <c r="AZ29" i="9" s="1"/>
  <c r="AZ34" i="9"/>
  <c r="AZ681" i="1"/>
  <c r="AZ572" i="1" s="1"/>
  <c r="AZ658" i="1"/>
  <c r="AZ684" i="1"/>
  <c r="AZ573" i="1" s="1"/>
  <c r="AZ678" i="1"/>
  <c r="AZ444" i="1"/>
  <c r="AZ206" i="1"/>
  <c r="AE793" i="1"/>
  <c r="AD399" i="1"/>
  <c r="AC463" i="1"/>
  <c r="AA463" i="1"/>
  <c r="AA640" i="1"/>
  <c r="AC640" i="1"/>
  <c r="AD640" i="1"/>
  <c r="AB463" i="1"/>
  <c r="AB640" i="1"/>
  <c r="AC639" i="1"/>
  <c r="AB461" i="1"/>
  <c r="AA461" i="1"/>
  <c r="AB639" i="1"/>
  <c r="AA639" i="1"/>
  <c r="AD639" i="1"/>
  <c r="AD461" i="1"/>
  <c r="AC461" i="1"/>
  <c r="AB465" i="1"/>
  <c r="AC465" i="1"/>
  <c r="AA465" i="1"/>
  <c r="AE3" i="11"/>
  <c r="AA641" i="1"/>
  <c r="AA642" i="1"/>
  <c r="AB641" i="1"/>
  <c r="AB642" i="1"/>
  <c r="AC641" i="1"/>
  <c r="AC642" i="1"/>
  <c r="BB186" i="1"/>
  <c r="BB73" i="1"/>
  <c r="BB14" i="9" s="1"/>
  <c r="BB72" i="1"/>
  <c r="Y53" i="9"/>
  <c r="Y422" i="1"/>
  <c r="Y54" i="9" s="1"/>
  <c r="Y84" i="9" s="1"/>
  <c r="Z724" i="1"/>
  <c r="AN550" i="1"/>
  <c r="AM551" i="1"/>
  <c r="AM718" i="1" s="1"/>
  <c r="BC50" i="1"/>
  <c r="BC80" i="1"/>
  <c r="BC24" i="9" s="1"/>
  <c r="BC145" i="1"/>
  <c r="BC82" i="1"/>
  <c r="BB133" i="1"/>
  <c r="BB17" i="9" s="1"/>
  <c r="BB132" i="1"/>
  <c r="BB189" i="1"/>
  <c r="AD484" i="1"/>
  <c r="AD486" i="1" s="1"/>
  <c r="AD472" i="1" s="1"/>
  <c r="AD473" i="1" s="1"/>
  <c r="AD474" i="1" s="1"/>
  <c r="AD4" i="9"/>
  <c r="AD6" i="9" s="1"/>
  <c r="AD11" i="9" s="1"/>
  <c r="BC144" i="1" l="1"/>
  <c r="BC54" i="1"/>
  <c r="BC52" i="1"/>
  <c r="BC23" i="9" s="1"/>
  <c r="AZ393" i="1"/>
  <c r="BC163" i="1"/>
  <c r="BD97" i="1"/>
  <c r="AF784" i="1"/>
  <c r="AF782" i="1" s="1"/>
  <c r="AF779" i="1"/>
  <c r="AF772" i="1"/>
  <c r="AF786" i="1"/>
  <c r="AF777" i="1"/>
  <c r="AF775" i="1" s="1"/>
  <c r="AF483" i="1" s="1"/>
  <c r="AF770" i="1"/>
  <c r="AF768" i="1" s="1"/>
  <c r="AF482" i="1" s="1"/>
  <c r="BC91" i="1"/>
  <c r="BC84" i="1"/>
  <c r="BC83" i="1"/>
  <c r="BD82" i="1"/>
  <c r="BD84" i="1" s="1"/>
  <c r="Y94" i="9"/>
  <c r="Y133" i="9"/>
  <c r="Y118" i="9"/>
  <c r="AZ571" i="1"/>
  <c r="AZ685" i="1"/>
  <c r="BC98" i="1"/>
  <c r="BA714" i="1"/>
  <c r="BA379" i="1"/>
  <c r="BA202" i="1"/>
  <c r="BA203" i="1" s="1"/>
  <c r="BA200" i="1"/>
  <c r="BA198" i="1"/>
  <c r="BA197" i="1"/>
  <c r="BA199" i="1"/>
  <c r="BD162" i="1"/>
  <c r="BD78" i="1"/>
  <c r="AE484" i="1"/>
  <c r="AE486" i="1" s="1"/>
  <c r="AE472" i="1" s="1"/>
  <c r="AE4" i="9"/>
  <c r="AO550" i="1"/>
  <c r="AO551" i="1" s="1"/>
  <c r="AN551" i="1"/>
  <c r="AN718" i="1" s="1"/>
  <c r="AZ209" i="1"/>
  <c r="AZ225" i="1"/>
  <c r="AZ230" i="1"/>
  <c r="AZ220" i="1"/>
  <c r="BD161" i="1"/>
  <c r="BD50" i="1"/>
  <c r="BA23" i="1"/>
  <c r="BA18" i="9" s="1"/>
  <c r="BA28" i="1"/>
  <c r="BA22" i="1"/>
  <c r="AF3" i="11"/>
  <c r="BB14" i="1"/>
  <c r="BB13" i="1"/>
  <c r="BB173" i="1"/>
  <c r="AD462" i="1"/>
  <c r="AD40" i="9"/>
  <c r="AD42" i="9" s="1"/>
  <c r="AD47" i="9" s="1"/>
  <c r="AD402" i="1"/>
  <c r="AZ570" i="1"/>
  <c r="BC165" i="1"/>
  <c r="BC172" i="1" s="1"/>
  <c r="BA16" i="1"/>
  <c r="AG1" i="9"/>
  <c r="AG3" i="1"/>
  <c r="AH4" i="1"/>
  <c r="AG792" i="1"/>
  <c r="AG4" i="11"/>
  <c r="BC122" i="1"/>
  <c r="BC147" i="1"/>
  <c r="BC120" i="1"/>
  <c r="BC26" i="9" s="1"/>
  <c r="BB188" i="1"/>
  <c r="BB113" i="1"/>
  <c r="BB16" i="9" s="1"/>
  <c r="BB112" i="1"/>
  <c r="BA14" i="1"/>
  <c r="BA13" i="1"/>
  <c r="BD164" i="1"/>
  <c r="BD118" i="1"/>
  <c r="AH1" i="9" l="1"/>
  <c r="AH766" i="1"/>
  <c r="AH793" i="1" s="1"/>
  <c r="AH3" i="1"/>
  <c r="AI4" i="1"/>
  <c r="AH792" i="1"/>
  <c r="AH791" i="1"/>
  <c r="AH789" i="1" s="1"/>
  <c r="AH485" i="1" s="1"/>
  <c r="AH4" i="11"/>
  <c r="AZ74" i="9"/>
  <c r="AD463" i="1"/>
  <c r="AD464" i="1"/>
  <c r="AZ386" i="1"/>
  <c r="AZ226" i="1"/>
  <c r="AP550" i="1"/>
  <c r="AO718" i="1"/>
  <c r="AE473" i="1"/>
  <c r="AE478" i="1"/>
  <c r="AE476" i="1"/>
  <c r="BA34" i="9"/>
  <c r="BA681" i="1"/>
  <c r="BA572" i="1" s="1"/>
  <c r="BA658" i="1"/>
  <c r="BA684" i="1"/>
  <c r="BA573" i="1" s="1"/>
  <c r="BA678" i="1"/>
  <c r="BA444" i="1"/>
  <c r="BA206" i="1"/>
  <c r="AZ110" i="9"/>
  <c r="AZ111" i="9" s="1"/>
  <c r="AZ695" i="1"/>
  <c r="BD163" i="1"/>
  <c r="BD98" i="1"/>
  <c r="AF484" i="1"/>
  <c r="AF486" i="1" s="1"/>
  <c r="AF472" i="1" s="1"/>
  <c r="AF473" i="1" s="1"/>
  <c r="AF474" i="1" s="1"/>
  <c r="AF4" i="9"/>
  <c r="AF6" i="9" s="1"/>
  <c r="AF11" i="9" s="1"/>
  <c r="BC171" i="1"/>
  <c r="AG3" i="11"/>
  <c r="BA19" i="1"/>
  <c r="BA31" i="9" s="1"/>
  <c r="BA17" i="1"/>
  <c r="BA29" i="9" s="1"/>
  <c r="BA32" i="1"/>
  <c r="BA20" i="9" s="1"/>
  <c r="BA30" i="1"/>
  <c r="BD145" i="1"/>
  <c r="BD80" i="1"/>
  <c r="BD24" i="9" s="1"/>
  <c r="BE76" i="1"/>
  <c r="BC131" i="1"/>
  <c r="BC124" i="1"/>
  <c r="BC123" i="1"/>
  <c r="BD122" i="1"/>
  <c r="BD124" i="1" s="1"/>
  <c r="AG766" i="1"/>
  <c r="BC169" i="1"/>
  <c r="AD406" i="1"/>
  <c r="AD418" i="1"/>
  <c r="AD417" i="1"/>
  <c r="BC170" i="1"/>
  <c r="AZ221" i="1"/>
  <c r="AZ385" i="1"/>
  <c r="BC146" i="1"/>
  <c r="BC102" i="1"/>
  <c r="BC100" i="1"/>
  <c r="BC25" i="9" s="1"/>
  <c r="Y95" i="9"/>
  <c r="Y98" i="9" s="1"/>
  <c r="AC95" i="9"/>
  <c r="AC98" i="9" s="1"/>
  <c r="AA95" i="9"/>
  <c r="AA98" i="9" s="1"/>
  <c r="AB95" i="9"/>
  <c r="AB98" i="9" s="1"/>
  <c r="BC93" i="1"/>
  <c r="BC15" i="9" s="1"/>
  <c r="BC92" i="1"/>
  <c r="BC187" i="1"/>
  <c r="BD91" i="1"/>
  <c r="BC71" i="1"/>
  <c r="BC56" i="1"/>
  <c r="BC55" i="1"/>
  <c r="BD54" i="1"/>
  <c r="BD56" i="1" s="1"/>
  <c r="BD147" i="1"/>
  <c r="BD120" i="1"/>
  <c r="BD26" i="9" s="1"/>
  <c r="BE116" i="1"/>
  <c r="AD99" i="9"/>
  <c r="AD48" i="9"/>
  <c r="BD52" i="1"/>
  <c r="BD23" i="9" s="1"/>
  <c r="BE48" i="1"/>
  <c r="BD144" i="1"/>
  <c r="AZ387" i="1"/>
  <c r="AZ231" i="1"/>
  <c r="AE6" i="9"/>
  <c r="AE125" i="9"/>
  <c r="AE123" i="9"/>
  <c r="BB190" i="1"/>
  <c r="AZ561" i="1"/>
  <c r="AZ328" i="1"/>
  <c r="BC148" i="1"/>
  <c r="BC9" i="1" l="1"/>
  <c r="BC154" i="1"/>
  <c r="BC173" i="1"/>
  <c r="BC153" i="1"/>
  <c r="AZ698" i="1"/>
  <c r="AE126" i="9"/>
  <c r="AE11" i="9"/>
  <c r="AD100" i="9"/>
  <c r="AH100" i="9"/>
  <c r="AF100" i="9"/>
  <c r="AG100" i="9"/>
  <c r="BC155" i="1"/>
  <c r="AD410" i="1"/>
  <c r="AD716" i="1"/>
  <c r="AD710" i="1"/>
  <c r="AD711" i="1"/>
  <c r="AC716" i="1"/>
  <c r="AE723" i="1"/>
  <c r="AF716" i="1"/>
  <c r="BE78" i="1"/>
  <c r="BE77" i="1"/>
  <c r="BE162" i="1" s="1"/>
  <c r="BC156" i="1"/>
  <c r="BD100" i="1"/>
  <c r="BD25" i="9" s="1"/>
  <c r="BE96" i="1"/>
  <c r="BD146" i="1"/>
  <c r="BD148" i="1" s="1"/>
  <c r="BA571" i="1"/>
  <c r="BA685" i="1"/>
  <c r="AZ321" i="1"/>
  <c r="AZ58" i="9" s="1"/>
  <c r="AZ36" i="9"/>
  <c r="AH3" i="11"/>
  <c r="BB192" i="1"/>
  <c r="BB201" i="1"/>
  <c r="BB181" i="1"/>
  <c r="BB21" i="1"/>
  <c r="BE49" i="1"/>
  <c r="BE161" i="1" s="1"/>
  <c r="BE50" i="1"/>
  <c r="BC186" i="1"/>
  <c r="BC73" i="1"/>
  <c r="BC14" i="9" s="1"/>
  <c r="BC72" i="1"/>
  <c r="BD71" i="1"/>
  <c r="AQ550" i="1"/>
  <c r="AP551" i="1"/>
  <c r="AP718" i="1" s="1"/>
  <c r="AH786" i="1"/>
  <c r="AH777" i="1"/>
  <c r="AH775" i="1" s="1"/>
  <c r="AH483" i="1" s="1"/>
  <c r="AH770" i="1"/>
  <c r="AH768" i="1" s="1"/>
  <c r="AH482" i="1" s="1"/>
  <c r="AH784" i="1"/>
  <c r="AH782" i="1" s="1"/>
  <c r="AH779" i="1"/>
  <c r="AH772" i="1"/>
  <c r="AZ322" i="1"/>
  <c r="AZ59" i="9" s="1"/>
  <c r="AZ37" i="9"/>
  <c r="BD93" i="1"/>
  <c r="BD15" i="9" s="1"/>
  <c r="BD187" i="1"/>
  <c r="AZ38" i="9"/>
  <c r="AZ60" i="9" s="1"/>
  <c r="AZ317" i="1"/>
  <c r="AG786" i="1"/>
  <c r="AG777" i="1"/>
  <c r="AG775" i="1" s="1"/>
  <c r="AG483" i="1" s="1"/>
  <c r="AG770" i="1"/>
  <c r="AG768" i="1" s="1"/>
  <c r="AG482" i="1" s="1"/>
  <c r="AG784" i="1"/>
  <c r="AG782" i="1" s="1"/>
  <c r="AG779" i="1"/>
  <c r="AG772" i="1"/>
  <c r="AG791" i="1"/>
  <c r="AG789" i="1" s="1"/>
  <c r="AG485" i="1" s="1"/>
  <c r="AG793" i="1"/>
  <c r="BC189" i="1"/>
  <c r="BC133" i="1"/>
  <c r="BC17" i="9" s="1"/>
  <c r="BC132" i="1"/>
  <c r="BD131" i="1"/>
  <c r="BA230" i="1"/>
  <c r="BA225" i="1"/>
  <c r="BA209" i="1"/>
  <c r="BA220" i="1"/>
  <c r="BA570" i="1"/>
  <c r="BD165" i="1"/>
  <c r="BE117" i="1"/>
  <c r="BE164" i="1" s="1"/>
  <c r="BC111" i="1"/>
  <c r="BC104" i="1"/>
  <c r="BC103" i="1"/>
  <c r="BD102" i="1"/>
  <c r="BD104" i="1" s="1"/>
  <c r="BA393" i="1"/>
  <c r="AE474" i="1"/>
  <c r="AE479" i="1"/>
  <c r="AD465" i="1"/>
  <c r="AD467" i="1"/>
  <c r="AI1" i="9"/>
  <c r="AI766" i="1"/>
  <c r="AI3" i="1"/>
  <c r="AJ4" i="1"/>
  <c r="AI792" i="1"/>
  <c r="AI791" i="1"/>
  <c r="AI789" i="1" s="1"/>
  <c r="AI485" i="1" s="1"/>
  <c r="AI4" i="11"/>
  <c r="BD9" i="1" l="1"/>
  <c r="BD153" i="1"/>
  <c r="BD154" i="1"/>
  <c r="BD156" i="1"/>
  <c r="BC188" i="1"/>
  <c r="BC113" i="1"/>
  <c r="BC16" i="9" s="1"/>
  <c r="BC112" i="1"/>
  <c r="BD111" i="1"/>
  <c r="BA385" i="1"/>
  <c r="BA221" i="1"/>
  <c r="BD73" i="1"/>
  <c r="BD14" i="9" s="1"/>
  <c r="BD186" i="1"/>
  <c r="BE54" i="1"/>
  <c r="BF48" i="1"/>
  <c r="BE144" i="1"/>
  <c r="AE477" i="1"/>
  <c r="AE480" i="1"/>
  <c r="BA74" i="9"/>
  <c r="BD189" i="1"/>
  <c r="BD133" i="1"/>
  <c r="BD17" i="9" s="1"/>
  <c r="AG484" i="1"/>
  <c r="AG486" i="1" s="1"/>
  <c r="AG472" i="1" s="1"/>
  <c r="AG473" i="1" s="1"/>
  <c r="AG474" i="1" s="1"/>
  <c r="AG4" i="9"/>
  <c r="AG6" i="9" s="1"/>
  <c r="AG11" i="9" s="1"/>
  <c r="AR550" i="1"/>
  <c r="AQ551" i="1"/>
  <c r="AQ718" i="1" s="1"/>
  <c r="BB714" i="1"/>
  <c r="BB379" i="1"/>
  <c r="BB202" i="1"/>
  <c r="BB203" i="1" s="1"/>
  <c r="BB198" i="1"/>
  <c r="BB197" i="1"/>
  <c r="BB200" i="1"/>
  <c r="BB199" i="1"/>
  <c r="BA110" i="9"/>
  <c r="BA111" i="9" s="1"/>
  <c r="BA695" i="1"/>
  <c r="AG103" i="9"/>
  <c r="AG107" i="9"/>
  <c r="AI784" i="1"/>
  <c r="AI782" i="1" s="1"/>
  <c r="AI779" i="1"/>
  <c r="AI772" i="1"/>
  <c r="AI786" i="1"/>
  <c r="AI777" i="1"/>
  <c r="AI775" i="1" s="1"/>
  <c r="AI483" i="1" s="1"/>
  <c r="AI770" i="1"/>
  <c r="AI768" i="1" s="1"/>
  <c r="AI482" i="1" s="1"/>
  <c r="BA561" i="1"/>
  <c r="BA328" i="1"/>
  <c r="BD172" i="1"/>
  <c r="BD169" i="1"/>
  <c r="BD170" i="1"/>
  <c r="AJ1" i="9"/>
  <c r="AJ766" i="1"/>
  <c r="AJ3" i="1"/>
  <c r="AI642" i="1" s="1"/>
  <c r="AK4" i="1"/>
  <c r="AJ792" i="1"/>
  <c r="AJ4" i="11"/>
  <c r="BE118" i="1"/>
  <c r="BA386" i="1"/>
  <c r="BA226" i="1"/>
  <c r="BB23" i="1"/>
  <c r="BB18" i="9" s="1"/>
  <c r="BB28" i="1"/>
  <c r="BB22" i="1"/>
  <c r="AF103" i="9"/>
  <c r="AF107" i="9"/>
  <c r="BE97" i="1"/>
  <c r="BE163" i="1" s="1"/>
  <c r="BE98" i="1"/>
  <c r="BE145" i="1"/>
  <c r="BE82" i="1"/>
  <c r="BF76" i="1"/>
  <c r="AD103" i="9"/>
  <c r="AD107" i="9"/>
  <c r="AI793" i="1"/>
  <c r="AI641" i="1"/>
  <c r="AI3" i="11"/>
  <c r="BA387" i="1"/>
  <c r="BA231" i="1"/>
  <c r="AH484" i="1"/>
  <c r="AH486" i="1" s="1"/>
  <c r="AH472" i="1" s="1"/>
  <c r="AH473" i="1" s="1"/>
  <c r="AH474" i="1" s="1"/>
  <c r="AH4" i="9"/>
  <c r="AH6" i="9" s="1"/>
  <c r="AH11" i="9" s="1"/>
  <c r="BD171" i="1"/>
  <c r="BC190" i="1"/>
  <c r="BB16" i="1"/>
  <c r="BD155" i="1"/>
  <c r="AD412" i="1"/>
  <c r="AD421" i="1" s="1"/>
  <c r="AD420" i="1"/>
  <c r="AD415" i="1"/>
  <c r="AD134" i="9"/>
  <c r="AH103" i="9"/>
  <c r="AH107" i="9"/>
  <c r="AE127" i="9"/>
  <c r="AE124" i="9"/>
  <c r="BC157" i="1"/>
  <c r="BC12" i="1"/>
  <c r="BC11" i="1"/>
  <c r="BC27" i="9" s="1"/>
  <c r="BC10" i="1"/>
  <c r="BC8" i="1"/>
  <c r="BE56" i="1" l="1"/>
  <c r="BE71" i="1"/>
  <c r="BD188" i="1"/>
  <c r="BD113" i="1"/>
  <c r="BD16" i="9" s="1"/>
  <c r="BC14" i="1"/>
  <c r="BC13" i="1"/>
  <c r="BD12" i="1"/>
  <c r="BD14" i="1" s="1"/>
  <c r="AI484" i="1"/>
  <c r="AI486" i="1" s="1"/>
  <c r="AI472" i="1" s="1"/>
  <c r="AI473" i="1" s="1"/>
  <c r="AI474" i="1" s="1"/>
  <c r="AI4" i="9"/>
  <c r="AI6" i="9" s="1"/>
  <c r="AI11" i="9" s="1"/>
  <c r="BB34" i="9"/>
  <c r="BB684" i="1"/>
  <c r="BB573" i="1" s="1"/>
  <c r="BB678" i="1"/>
  <c r="BB681" i="1"/>
  <c r="BB572" i="1" s="1"/>
  <c r="BB658" i="1"/>
  <c r="BB444" i="1"/>
  <c r="BB206" i="1"/>
  <c r="BD190" i="1"/>
  <c r="AD53" i="9"/>
  <c r="AD422" i="1"/>
  <c r="AD54" i="9" s="1"/>
  <c r="AD84" i="9" s="1"/>
  <c r="AE724" i="1"/>
  <c r="BC201" i="1"/>
  <c r="BC181" i="1"/>
  <c r="BC192" i="1"/>
  <c r="BC21" i="1"/>
  <c r="BA36" i="9"/>
  <c r="BA321" i="1"/>
  <c r="BA58" i="9" s="1"/>
  <c r="AJ784" i="1"/>
  <c r="AJ782" i="1" s="1"/>
  <c r="AJ779" i="1"/>
  <c r="AJ772" i="1"/>
  <c r="AJ786" i="1"/>
  <c r="AJ777" i="1"/>
  <c r="AJ775" i="1" s="1"/>
  <c r="AJ483" i="1" s="1"/>
  <c r="AJ770" i="1"/>
  <c r="AJ768" i="1" s="1"/>
  <c r="AJ482" i="1" s="1"/>
  <c r="BE102" i="1"/>
  <c r="BF96" i="1"/>
  <c r="BE146" i="1"/>
  <c r="BE147" i="1"/>
  <c r="BF116" i="1"/>
  <c r="BE122" i="1"/>
  <c r="AJ791" i="1"/>
  <c r="AJ789" i="1" s="1"/>
  <c r="AJ485" i="1" s="1"/>
  <c r="BB19" i="1"/>
  <c r="BB31" i="9" s="1"/>
  <c r="BB17" i="1"/>
  <c r="BB29" i="9" s="1"/>
  <c r="BA322" i="1"/>
  <c r="BA59" i="9" s="1"/>
  <c r="BA37" i="9"/>
  <c r="BF77" i="1"/>
  <c r="BF162" i="1" s="1"/>
  <c r="BF78" i="1"/>
  <c r="BE171" i="1"/>
  <c r="AK1" i="9"/>
  <c r="AK3" i="1"/>
  <c r="AL4" i="1"/>
  <c r="AK792" i="1"/>
  <c r="AK4" i="11"/>
  <c r="AS550" i="1"/>
  <c r="AR551" i="1"/>
  <c r="AR718" i="1" s="1"/>
  <c r="BD157" i="1"/>
  <c r="BE91" i="1"/>
  <c r="BE84" i="1"/>
  <c r="BB32" i="1"/>
  <c r="BB20" i="9" s="1"/>
  <c r="BB30" i="1"/>
  <c r="AJ793" i="1"/>
  <c r="AI399" i="1"/>
  <c r="AF640" i="1"/>
  <c r="AH640" i="1"/>
  <c r="AH463" i="1"/>
  <c r="AF463" i="1"/>
  <c r="AG640" i="1"/>
  <c r="AG463" i="1"/>
  <c r="AI640" i="1"/>
  <c r="AH461" i="1"/>
  <c r="AG639" i="1"/>
  <c r="AI639" i="1"/>
  <c r="AI461" i="1"/>
  <c r="AF461" i="1"/>
  <c r="AG461" i="1"/>
  <c r="AF639" i="1"/>
  <c r="AH639" i="1"/>
  <c r="AH465" i="1"/>
  <c r="AG465" i="1"/>
  <c r="AF465" i="1"/>
  <c r="AJ3" i="11"/>
  <c r="AF641" i="1"/>
  <c r="AF642" i="1"/>
  <c r="AG641" i="1"/>
  <c r="AG642" i="1"/>
  <c r="AH642" i="1"/>
  <c r="AH641" i="1"/>
  <c r="BD173" i="1"/>
  <c r="BA698" i="1"/>
  <c r="BE165" i="1"/>
  <c r="BF49" i="1"/>
  <c r="BF161" i="1" s="1"/>
  <c r="BF50" i="1"/>
  <c r="BA38" i="9"/>
  <c r="BA60" i="9" s="1"/>
  <c r="BA317" i="1"/>
  <c r="BC199" i="1"/>
  <c r="BD11" i="1"/>
  <c r="BD27" i="9" s="1"/>
  <c r="BD8" i="1"/>
  <c r="BE7" i="1"/>
  <c r="AI462" i="1" l="1"/>
  <c r="AI40" i="9"/>
  <c r="AI42" i="9" s="1"/>
  <c r="AI47" i="9" s="1"/>
  <c r="AI402" i="1"/>
  <c r="AL1" i="9"/>
  <c r="AL3" i="1"/>
  <c r="AL766" i="1" s="1"/>
  <c r="AM4" i="1"/>
  <c r="AL792" i="1"/>
  <c r="AL4" i="11"/>
  <c r="BG48" i="1"/>
  <c r="BF144" i="1"/>
  <c r="BF54" i="1"/>
  <c r="BE187" i="1"/>
  <c r="BE93" i="1"/>
  <c r="BE15" i="9" s="1"/>
  <c r="AK3" i="11"/>
  <c r="BF82" i="1"/>
  <c r="BG76" i="1"/>
  <c r="BF145" i="1"/>
  <c r="BE131" i="1"/>
  <c r="BE124" i="1"/>
  <c r="BF97" i="1"/>
  <c r="BF163" i="1" s="1"/>
  <c r="BF98" i="1"/>
  <c r="BC28" i="1"/>
  <c r="BC22" i="1"/>
  <c r="BC23" i="1"/>
  <c r="BC18" i="9" s="1"/>
  <c r="BB393" i="1"/>
  <c r="AJ484" i="1"/>
  <c r="AJ486" i="1" s="1"/>
  <c r="AJ472" i="1" s="1"/>
  <c r="AJ4" i="9"/>
  <c r="BD192" i="1"/>
  <c r="BD21" i="1"/>
  <c r="BB220" i="1"/>
  <c r="BB230" i="1"/>
  <c r="BB225" i="1"/>
  <c r="BB209" i="1"/>
  <c r="BB571" i="1"/>
  <c r="BB685" i="1"/>
  <c r="AK766" i="1"/>
  <c r="BF117" i="1"/>
  <c r="BF164" i="1" s="1"/>
  <c r="BE111" i="1"/>
  <c r="BE104" i="1"/>
  <c r="BC379" i="1"/>
  <c r="BC202" i="1"/>
  <c r="BC203" i="1" s="1"/>
  <c r="BC198" i="1"/>
  <c r="BC197" i="1"/>
  <c r="BC200" i="1"/>
  <c r="BB570" i="1"/>
  <c r="BE73" i="1"/>
  <c r="BE14" i="9" s="1"/>
  <c r="BE186" i="1"/>
  <c r="BE172" i="1"/>
  <c r="BE170" i="1"/>
  <c r="BE169" i="1"/>
  <c r="BE173" i="1" s="1"/>
  <c r="BE148" i="1"/>
  <c r="AT550" i="1"/>
  <c r="AT551" i="1" s="1"/>
  <c r="AS551" i="1"/>
  <c r="AS718" i="1" s="1"/>
  <c r="BE156" i="1"/>
  <c r="BC16" i="1"/>
  <c r="BD181" i="1"/>
  <c r="BD16" i="1" s="1"/>
  <c r="BD19" i="1" s="1"/>
  <c r="BD31" i="9" s="1"/>
  <c r="AD133" i="9"/>
  <c r="AD118" i="9"/>
  <c r="AD94" i="9"/>
  <c r="AL786" i="1" l="1"/>
  <c r="AL777" i="1"/>
  <c r="AL775" i="1" s="1"/>
  <c r="AL483" i="1" s="1"/>
  <c r="AL770" i="1"/>
  <c r="AL768" i="1" s="1"/>
  <c r="AL482" i="1" s="1"/>
  <c r="AL784" i="1"/>
  <c r="AL782" i="1" s="1"/>
  <c r="AL779" i="1"/>
  <c r="AL772" i="1"/>
  <c r="AL791" i="1"/>
  <c r="AL789" i="1" s="1"/>
  <c r="AL485" i="1" s="1"/>
  <c r="AL793" i="1"/>
  <c r="AJ478" i="1"/>
  <c r="AJ476" i="1"/>
  <c r="AJ473" i="1"/>
  <c r="BB110" i="9"/>
  <c r="BB111" i="9" s="1"/>
  <c r="BB695" i="1"/>
  <c r="BB386" i="1"/>
  <c r="BB226" i="1"/>
  <c r="BD202" i="1"/>
  <c r="BD198" i="1"/>
  <c r="BD197" i="1"/>
  <c r="BD200" i="1"/>
  <c r="BE188" i="1"/>
  <c r="BE113" i="1"/>
  <c r="BE16" i="9" s="1"/>
  <c r="AK786" i="1"/>
  <c r="AK777" i="1"/>
  <c r="AK775" i="1" s="1"/>
  <c r="AK483" i="1" s="1"/>
  <c r="AK770" i="1"/>
  <c r="AK768" i="1" s="1"/>
  <c r="AK482" i="1" s="1"/>
  <c r="AK784" i="1"/>
  <c r="AK782" i="1" s="1"/>
  <c r="AK779" i="1"/>
  <c r="AK772" i="1"/>
  <c r="AK793" i="1"/>
  <c r="AK791" i="1"/>
  <c r="AK789" i="1" s="1"/>
  <c r="AK485" i="1" s="1"/>
  <c r="BB231" i="1"/>
  <c r="BB387" i="1"/>
  <c r="BD201" i="1"/>
  <c r="BD203" i="1" s="1"/>
  <c r="BD199" i="1"/>
  <c r="BF171" i="1"/>
  <c r="BG77" i="1"/>
  <c r="BG162" i="1" s="1"/>
  <c r="AI463" i="1"/>
  <c r="AI464" i="1"/>
  <c r="AU550" i="1"/>
  <c r="AT718" i="1"/>
  <c r="BC34" i="9"/>
  <c r="BC678" i="1"/>
  <c r="BC681" i="1"/>
  <c r="BC658" i="1"/>
  <c r="BC684" i="1"/>
  <c r="BC444" i="1"/>
  <c r="BC206" i="1"/>
  <c r="BD379" i="1"/>
  <c r="BB385" i="1"/>
  <c r="BB221" i="1"/>
  <c r="BF91" i="1"/>
  <c r="BF84" i="1"/>
  <c r="BG50" i="1"/>
  <c r="BG49" i="1"/>
  <c r="BG161" i="1" s="1"/>
  <c r="BB74" i="9"/>
  <c r="BB561" i="1"/>
  <c r="BB328" i="1"/>
  <c r="BG96" i="1"/>
  <c r="BF146" i="1"/>
  <c r="BF102" i="1"/>
  <c r="BF56" i="1"/>
  <c r="BF71" i="1"/>
  <c r="AL3" i="11"/>
  <c r="AI99" i="9"/>
  <c r="AI48" i="9"/>
  <c r="AD95" i="9"/>
  <c r="AD98" i="9" s="1"/>
  <c r="AF95" i="9"/>
  <c r="AF98" i="9" s="1"/>
  <c r="AH95" i="9"/>
  <c r="AH98" i="9" s="1"/>
  <c r="AG95" i="9"/>
  <c r="AG98" i="9" s="1"/>
  <c r="BC19" i="1"/>
  <c r="BC31" i="9" s="1"/>
  <c r="BC17" i="1"/>
  <c r="BC29" i="9" s="1"/>
  <c r="BE9" i="1"/>
  <c r="BE154" i="1"/>
  <c r="BE153" i="1"/>
  <c r="BE155" i="1"/>
  <c r="BC714" i="1"/>
  <c r="BF118" i="1"/>
  <c r="BF165" i="1"/>
  <c r="BD23" i="1"/>
  <c r="BD18" i="9" s="1"/>
  <c r="BD28" i="1"/>
  <c r="BD32" i="1" s="1"/>
  <c r="BD20" i="9" s="1"/>
  <c r="AJ6" i="9"/>
  <c r="AJ125" i="9"/>
  <c r="AJ123" i="9"/>
  <c r="BC32" i="1"/>
  <c r="BC20" i="9" s="1"/>
  <c r="BC30" i="1"/>
  <c r="BE189" i="1"/>
  <c r="BE133" i="1"/>
  <c r="BE17" i="9" s="1"/>
  <c r="AM1" i="9"/>
  <c r="AM766" i="1"/>
  <c r="AM793" i="1" s="1"/>
  <c r="AM3" i="1"/>
  <c r="AN4" i="1"/>
  <c r="AM792" i="1"/>
  <c r="AM791" i="1"/>
  <c r="AM789" i="1" s="1"/>
  <c r="AM485" i="1" s="1"/>
  <c r="AM4" i="11"/>
  <c r="AI406" i="1"/>
  <c r="AI418" i="1"/>
  <c r="AI417" i="1"/>
  <c r="AL484" i="1" l="1"/>
  <c r="AL486" i="1" s="1"/>
  <c r="AL4" i="9"/>
  <c r="AL6" i="9" s="1"/>
  <c r="AL11" i="9" s="1"/>
  <c r="AJ479" i="1"/>
  <c r="AJ474" i="1"/>
  <c r="AL472" i="1"/>
  <c r="AL473" i="1" s="1"/>
  <c r="AL474" i="1" s="1"/>
  <c r="AI410" i="1"/>
  <c r="AI716" i="1"/>
  <c r="AI710" i="1"/>
  <c r="AI711" i="1"/>
  <c r="AJ723" i="1"/>
  <c r="AH716" i="1"/>
  <c r="AK716" i="1"/>
  <c r="AJ11" i="9"/>
  <c r="AJ126" i="9"/>
  <c r="BF186" i="1"/>
  <c r="BF73" i="1"/>
  <c r="BF14" i="9" s="1"/>
  <c r="BB698" i="1"/>
  <c r="BG144" i="1"/>
  <c r="BG54" i="1"/>
  <c r="BD658" i="1"/>
  <c r="BC570" i="1"/>
  <c r="BB322" i="1"/>
  <c r="BB59" i="9" s="1"/>
  <c r="BB37" i="9"/>
  <c r="AN1" i="9"/>
  <c r="AN766" i="1"/>
  <c r="AO4" i="1"/>
  <c r="AN3" i="1"/>
  <c r="AN791" i="1"/>
  <c r="AN789" i="1" s="1"/>
  <c r="AN485" i="1" s="1"/>
  <c r="AN793" i="1"/>
  <c r="AN792" i="1"/>
  <c r="AN4" i="11"/>
  <c r="BF170" i="1"/>
  <c r="BF169" i="1"/>
  <c r="BE157" i="1"/>
  <c r="BG97" i="1"/>
  <c r="BG163" i="1" s="1"/>
  <c r="BB38" i="9"/>
  <c r="BB60" i="9" s="1"/>
  <c r="BB317" i="1"/>
  <c r="BC225" i="1"/>
  <c r="BC230" i="1"/>
  <c r="BC209" i="1"/>
  <c r="BC220" i="1"/>
  <c r="BD206" i="1"/>
  <c r="BD681" i="1"/>
  <c r="BD618" i="1" s="1"/>
  <c r="BC572" i="1"/>
  <c r="BD572" i="1" s="1"/>
  <c r="AV550" i="1"/>
  <c r="AU551" i="1"/>
  <c r="AU718" i="1" s="1"/>
  <c r="BE190" i="1"/>
  <c r="AM3" i="11"/>
  <c r="BF122" i="1"/>
  <c r="BF147" i="1"/>
  <c r="BF148" i="1" s="1"/>
  <c r="BG116" i="1"/>
  <c r="BF93" i="1"/>
  <c r="BF15" i="9" s="1"/>
  <c r="BF187" i="1"/>
  <c r="BF172" i="1"/>
  <c r="BC393" i="1"/>
  <c r="BD444" i="1"/>
  <c r="BD445" i="1" s="1"/>
  <c r="BD678" i="1"/>
  <c r="BC571" i="1"/>
  <c r="BD571" i="1" s="1"/>
  <c r="BC685" i="1"/>
  <c r="AI465" i="1"/>
  <c r="AI467" i="1"/>
  <c r="BG78" i="1"/>
  <c r="BB36" i="9"/>
  <c r="BB321" i="1"/>
  <c r="BB58" i="9" s="1"/>
  <c r="AM784" i="1"/>
  <c r="AM782" i="1" s="1"/>
  <c r="AM779" i="1"/>
  <c r="AM772" i="1"/>
  <c r="AM786" i="1"/>
  <c r="AM777" i="1"/>
  <c r="AM775" i="1" s="1"/>
  <c r="AM483" i="1" s="1"/>
  <c r="AM770" i="1"/>
  <c r="AM768" i="1" s="1"/>
  <c r="AM482" i="1" s="1"/>
  <c r="BE8" i="1"/>
  <c r="BF7" i="1"/>
  <c r="BE12" i="1"/>
  <c r="BE14" i="1" s="1"/>
  <c r="BE11" i="1"/>
  <c r="BE27" i="9" s="1"/>
  <c r="AI100" i="9"/>
  <c r="AM100" i="9"/>
  <c r="AL100" i="9"/>
  <c r="AK100" i="9"/>
  <c r="BF111" i="1"/>
  <c r="BF104" i="1"/>
  <c r="BD34" i="9"/>
  <c r="BD684" i="1"/>
  <c r="BD619" i="1" s="1"/>
  <c r="BC573" i="1"/>
  <c r="BD573" i="1" s="1"/>
  <c r="AK484" i="1"/>
  <c r="AK486" i="1" s="1"/>
  <c r="AK472" i="1" s="1"/>
  <c r="AK473" i="1" s="1"/>
  <c r="AK474" i="1" s="1"/>
  <c r="AK4" i="9"/>
  <c r="AK6" i="9" s="1"/>
  <c r="AK11" i="9" s="1"/>
  <c r="BD714" i="1"/>
  <c r="M161" i="10"/>
  <c r="P161" i="10" l="1"/>
  <c r="O161" i="10"/>
  <c r="BF9" i="1"/>
  <c r="BF154" i="1"/>
  <c r="BF153" i="1"/>
  <c r="BF155" i="1"/>
  <c r="AM103" i="9"/>
  <c r="AM107" i="9"/>
  <c r="AM484" i="1"/>
  <c r="AM486" i="1" s="1"/>
  <c r="AM472" i="1" s="1"/>
  <c r="AM473" i="1" s="1"/>
  <c r="AM474" i="1" s="1"/>
  <c r="AM4" i="9"/>
  <c r="AM6" i="9" s="1"/>
  <c r="AM11" i="9" s="1"/>
  <c r="BC110" i="9"/>
  <c r="BC111" i="9" s="1"/>
  <c r="BC695" i="1"/>
  <c r="BC561" i="1"/>
  <c r="BD561" i="1" s="1"/>
  <c r="BC328" i="1"/>
  <c r="BD393" i="1"/>
  <c r="BD328" i="1" s="1"/>
  <c r="BG117" i="1"/>
  <c r="BG164" i="1" s="1"/>
  <c r="AW550" i="1"/>
  <c r="AW551" i="1" s="1"/>
  <c r="AW718" i="1" s="1"/>
  <c r="AV551" i="1"/>
  <c r="AV718" i="1" s="1"/>
  <c r="BC385" i="1"/>
  <c r="BC221" i="1"/>
  <c r="BD220" i="1"/>
  <c r="BG98" i="1"/>
  <c r="AN642" i="1"/>
  <c r="AN3" i="11"/>
  <c r="AJ480" i="1"/>
  <c r="AJ477" i="1"/>
  <c r="BF188" i="1"/>
  <c r="BF113" i="1"/>
  <c r="BF16" i="9" s="1"/>
  <c r="AI107" i="9"/>
  <c r="AI103" i="9"/>
  <c r="BG145" i="1"/>
  <c r="BG82" i="1"/>
  <c r="BF156" i="1"/>
  <c r="BD209" i="1"/>
  <c r="BD211" i="1" s="1"/>
  <c r="AO1" i="9"/>
  <c r="AO766" i="1"/>
  <c r="AO791" i="1" s="1"/>
  <c r="AO789" i="1" s="1"/>
  <c r="AO485" i="1" s="1"/>
  <c r="AO3" i="1"/>
  <c r="AN641" i="1" s="1"/>
  <c r="AP4" i="1"/>
  <c r="AO792" i="1"/>
  <c r="AO793" i="1"/>
  <c r="AO4" i="11"/>
  <c r="BC74" i="9"/>
  <c r="BD570" i="1"/>
  <c r="BD74" i="9" s="1"/>
  <c r="BC698" i="1"/>
  <c r="BD698" i="1" s="1"/>
  <c r="AK107" i="9"/>
  <c r="AK103" i="9"/>
  <c r="BD617" i="1"/>
  <c r="BD685" i="1"/>
  <c r="BF131" i="1"/>
  <c r="BF124" i="1"/>
  <c r="BE192" i="1"/>
  <c r="BE201" i="1"/>
  <c r="BE181" i="1"/>
  <c r="BE16" i="1" s="1"/>
  <c r="BE19" i="1" s="1"/>
  <c r="BE31" i="9" s="1"/>
  <c r="BE21" i="1"/>
  <c r="BD623" i="1"/>
  <c r="BE618" i="1"/>
  <c r="BF618" i="1" s="1"/>
  <c r="BG618" i="1" s="1"/>
  <c r="BC387" i="1"/>
  <c r="BC231" i="1"/>
  <c r="BD230" i="1"/>
  <c r="BF173" i="1"/>
  <c r="AN784" i="1"/>
  <c r="AN782" i="1" s="1"/>
  <c r="AN779" i="1"/>
  <c r="AN772" i="1"/>
  <c r="AN786" i="1"/>
  <c r="AN777" i="1"/>
  <c r="AN775" i="1" s="1"/>
  <c r="AN483" i="1" s="1"/>
  <c r="AN770" i="1"/>
  <c r="AN768" i="1" s="1"/>
  <c r="AN482" i="1" s="1"/>
  <c r="BD616" i="1"/>
  <c r="AI420" i="1"/>
  <c r="AI415" i="1"/>
  <c r="AI412" i="1"/>
  <c r="AI421" i="1" s="1"/>
  <c r="AI134" i="9"/>
  <c r="BD624" i="1"/>
  <c r="BE619" i="1"/>
  <c r="BF619" i="1" s="1"/>
  <c r="BG619" i="1" s="1"/>
  <c r="AL107" i="9"/>
  <c r="AL103" i="9"/>
  <c r="BC226" i="1"/>
  <c r="BC386" i="1"/>
  <c r="BD225" i="1"/>
  <c r="BG71" i="1"/>
  <c r="BG56" i="1"/>
  <c r="AJ124" i="9"/>
  <c r="AJ127" i="9"/>
  <c r="M162" i="10"/>
  <c r="P162" i="10" l="1"/>
  <c r="O162" i="10"/>
  <c r="BG186" i="1"/>
  <c r="BG73" i="1"/>
  <c r="BG14" i="9" s="1"/>
  <c r="BC36" i="9"/>
  <c r="BC321" i="1"/>
  <c r="BC58" i="9" s="1"/>
  <c r="BD386" i="1"/>
  <c r="AI53" i="9"/>
  <c r="AI422" i="1"/>
  <c r="AI54" i="9" s="1"/>
  <c r="AI84" i="9" s="1"/>
  <c r="AJ724" i="1"/>
  <c r="BE23" i="1"/>
  <c r="BE18" i="9" s="1"/>
  <c r="BE28" i="1"/>
  <c r="BE32" i="1" s="1"/>
  <c r="BE20" i="9" s="1"/>
  <c r="BD622" i="1"/>
  <c r="BE617" i="1"/>
  <c r="BF617" i="1" s="1"/>
  <c r="BG617" i="1" s="1"/>
  <c r="AP1" i="9"/>
  <c r="AP3" i="1"/>
  <c r="AQ4" i="1"/>
  <c r="AP792" i="1"/>
  <c r="AP4" i="11"/>
  <c r="BD212" i="1"/>
  <c r="BE211" i="1"/>
  <c r="BF211" i="1" s="1"/>
  <c r="BG211" i="1" s="1"/>
  <c r="BC38" i="9"/>
  <c r="BC60" i="9" s="1"/>
  <c r="BC317" i="1"/>
  <c r="BD385" i="1"/>
  <c r="BG118" i="1"/>
  <c r="AN484" i="1"/>
  <c r="AN486" i="1" s="1"/>
  <c r="AN472" i="1" s="1"/>
  <c r="AN473" i="1" s="1"/>
  <c r="AN474" i="1" s="1"/>
  <c r="AN4" i="9"/>
  <c r="AN6" i="9" s="1"/>
  <c r="AN11" i="9" s="1"/>
  <c r="BC37" i="9"/>
  <c r="BC322" i="1"/>
  <c r="BC59" i="9" s="1"/>
  <c r="BD387" i="1"/>
  <c r="BF133" i="1"/>
  <c r="BF17" i="9" s="1"/>
  <c r="BF189" i="1"/>
  <c r="AN399" i="1"/>
  <c r="AL463" i="1"/>
  <c r="AN640" i="1"/>
  <c r="AL640" i="1"/>
  <c r="AM463" i="1"/>
  <c r="AM640" i="1"/>
  <c r="AK463" i="1"/>
  <c r="AK640" i="1"/>
  <c r="AM639" i="1"/>
  <c r="AK461" i="1"/>
  <c r="AN639" i="1"/>
  <c r="AL639" i="1"/>
  <c r="AM461" i="1"/>
  <c r="AK639" i="1"/>
  <c r="AN461" i="1"/>
  <c r="AL461" i="1"/>
  <c r="AM465" i="1"/>
  <c r="AL465" i="1"/>
  <c r="AK465" i="1"/>
  <c r="AO3" i="11"/>
  <c r="AK642" i="1"/>
  <c r="AK641" i="1"/>
  <c r="AL641" i="1"/>
  <c r="AL642" i="1"/>
  <c r="AM641" i="1"/>
  <c r="AM642" i="1"/>
  <c r="BG146" i="1"/>
  <c r="BG102" i="1"/>
  <c r="BF8" i="1"/>
  <c r="BG7" i="1"/>
  <c r="BF12" i="1"/>
  <c r="BF14" i="1" s="1"/>
  <c r="BF11" i="1"/>
  <c r="BF27" i="9" s="1"/>
  <c r="AO786" i="1"/>
  <c r="AO777" i="1"/>
  <c r="AO775" i="1" s="1"/>
  <c r="AO483" i="1" s="1"/>
  <c r="AO770" i="1"/>
  <c r="AO768" i="1" s="1"/>
  <c r="AO482" i="1" s="1"/>
  <c r="AO784" i="1"/>
  <c r="AO782" i="1" s="1"/>
  <c r="AO779" i="1"/>
  <c r="AO772" i="1"/>
  <c r="BD221" i="1"/>
  <c r="BD222" i="1"/>
  <c r="BD227" i="1"/>
  <c r="BD226" i="1"/>
  <c r="BD621" i="1"/>
  <c r="BE616" i="1"/>
  <c r="BF616" i="1" s="1"/>
  <c r="BG616" i="1" s="1"/>
  <c r="BD232" i="1"/>
  <c r="BD231" i="1"/>
  <c r="BE714" i="1"/>
  <c r="BE379" i="1"/>
  <c r="BE202" i="1"/>
  <c r="BE203" i="1" s="1"/>
  <c r="BE197" i="1"/>
  <c r="BE198" i="1"/>
  <c r="BE200" i="1"/>
  <c r="BE199" i="1"/>
  <c r="BD110" i="9"/>
  <c r="BD111" i="9" s="1"/>
  <c r="BD695" i="1"/>
  <c r="BG91" i="1"/>
  <c r="BG84" i="1"/>
  <c r="BG165" i="1"/>
  <c r="BF157" i="1"/>
  <c r="BG93" i="1" l="1"/>
  <c r="BG15" i="9" s="1"/>
  <c r="BG187" i="1"/>
  <c r="BE34" i="9"/>
  <c r="BE681" i="1"/>
  <c r="BE572" i="1" s="1"/>
  <c r="BE658" i="1"/>
  <c r="BE684" i="1"/>
  <c r="BE573" i="1" s="1"/>
  <c r="BE678" i="1"/>
  <c r="BE444" i="1"/>
  <c r="BE393" i="1" s="1"/>
  <c r="BE206" i="1"/>
  <c r="BE209" i="1" s="1"/>
  <c r="BD223" i="1"/>
  <c r="BE222" i="1"/>
  <c r="AO484" i="1"/>
  <c r="AO486" i="1" s="1"/>
  <c r="AO472" i="1" s="1"/>
  <c r="AO4" i="9"/>
  <c r="AN462" i="1"/>
  <c r="AN40" i="9"/>
  <c r="AN42" i="9" s="1"/>
  <c r="AN47" i="9" s="1"/>
  <c r="AN402" i="1"/>
  <c r="BD37" i="9"/>
  <c r="BD322" i="1"/>
  <c r="BD59" i="9" s="1"/>
  <c r="BD321" i="1"/>
  <c r="BD58" i="9" s="1"/>
  <c r="BD36" i="9"/>
  <c r="BG169" i="1"/>
  <c r="BG170" i="1"/>
  <c r="BG171" i="1"/>
  <c r="BG111" i="1"/>
  <c r="BG104" i="1"/>
  <c r="BG122" i="1"/>
  <c r="BG147" i="1"/>
  <c r="AQ1" i="9"/>
  <c r="AQ766" i="1"/>
  <c r="AQ3" i="1"/>
  <c r="AR4" i="1"/>
  <c r="AQ792" i="1"/>
  <c r="AQ793" i="1"/>
  <c r="AQ4" i="11"/>
  <c r="BG172" i="1"/>
  <c r="BG155" i="1"/>
  <c r="BG148" i="1"/>
  <c r="BF190" i="1"/>
  <c r="BD38" i="9"/>
  <c r="BD60" i="9" s="1"/>
  <c r="BD317" i="1"/>
  <c r="AP3" i="11"/>
  <c r="BE232" i="1"/>
  <c r="BD233" i="1"/>
  <c r="BD228" i="1"/>
  <c r="BE227" i="1"/>
  <c r="AP766" i="1"/>
  <c r="AI133" i="9"/>
  <c r="AI118" i="9"/>
  <c r="AI94" i="9"/>
  <c r="BF227" i="1" l="1"/>
  <c r="BE225" i="1"/>
  <c r="AQ784" i="1"/>
  <c r="AQ782" i="1" s="1"/>
  <c r="AQ779" i="1"/>
  <c r="AQ772" i="1"/>
  <c r="AQ786" i="1"/>
  <c r="AQ777" i="1"/>
  <c r="AQ775" i="1" s="1"/>
  <c r="AQ483" i="1" s="1"/>
  <c r="AQ770" i="1"/>
  <c r="AQ768" i="1" s="1"/>
  <c r="AQ482" i="1" s="1"/>
  <c r="BG173" i="1"/>
  <c r="AN99" i="9"/>
  <c r="AN48" i="9"/>
  <c r="BF222" i="1"/>
  <c r="BE220" i="1"/>
  <c r="BE561" i="1"/>
  <c r="BE698" i="1" s="1"/>
  <c r="BE328" i="1"/>
  <c r="BF192" i="1"/>
  <c r="BF201" i="1"/>
  <c r="BF181" i="1"/>
  <c r="BF16" i="1" s="1"/>
  <c r="BF19" i="1" s="1"/>
  <c r="BF31" i="9" s="1"/>
  <c r="BF21" i="1"/>
  <c r="AQ791" i="1"/>
  <c r="AQ789" i="1" s="1"/>
  <c r="AQ485" i="1" s="1"/>
  <c r="BG188" i="1"/>
  <c r="BG113" i="1"/>
  <c r="BG16" i="9" s="1"/>
  <c r="AN463" i="1"/>
  <c r="AN464" i="1"/>
  <c r="BE571" i="1"/>
  <c r="BE685" i="1"/>
  <c r="AP786" i="1"/>
  <c r="AP777" i="1"/>
  <c r="AP775" i="1" s="1"/>
  <c r="AP483" i="1" s="1"/>
  <c r="AP770" i="1"/>
  <c r="AP768" i="1" s="1"/>
  <c r="AP482" i="1" s="1"/>
  <c r="AP784" i="1"/>
  <c r="AP782" i="1" s="1"/>
  <c r="AP779" i="1"/>
  <c r="AP772" i="1"/>
  <c r="AP791" i="1"/>
  <c r="AP789" i="1" s="1"/>
  <c r="AP485" i="1" s="1"/>
  <c r="AP793" i="1"/>
  <c r="AR1" i="9"/>
  <c r="AS4" i="1"/>
  <c r="AR3" i="1"/>
  <c r="AR792" i="1"/>
  <c r="AR4" i="11"/>
  <c r="BG156" i="1"/>
  <c r="AO6" i="9"/>
  <c r="AO125" i="9"/>
  <c r="AO123" i="9"/>
  <c r="AI95" i="9"/>
  <c r="AI98" i="9" s="1"/>
  <c r="AK95" i="9"/>
  <c r="AK98" i="9" s="1"/>
  <c r="AL95" i="9"/>
  <c r="AL98" i="9" s="1"/>
  <c r="AM95" i="9"/>
  <c r="AM98" i="9" s="1"/>
  <c r="BE230" i="1"/>
  <c r="BF232" i="1"/>
  <c r="BG9" i="1"/>
  <c r="BG153" i="1"/>
  <c r="BG157" i="1" s="1"/>
  <c r="BG154" i="1"/>
  <c r="AQ3" i="11"/>
  <c r="BG131" i="1"/>
  <c r="BG124" i="1"/>
  <c r="AN406" i="1"/>
  <c r="AN418" i="1"/>
  <c r="AN417" i="1"/>
  <c r="AO473" i="1"/>
  <c r="AO478" i="1"/>
  <c r="AO476" i="1"/>
  <c r="BE570" i="1"/>
  <c r="BE74" i="9" s="1"/>
  <c r="AN410" i="1" l="1"/>
  <c r="AN716" i="1"/>
  <c r="AN710" i="1"/>
  <c r="AN711" i="1"/>
  <c r="AO723" i="1"/>
  <c r="AM716" i="1"/>
  <c r="AP716" i="1"/>
  <c r="BG12" i="1"/>
  <c r="BG14" i="1" s="1"/>
  <c r="BG11" i="1"/>
  <c r="BG27" i="9" s="1"/>
  <c r="BG8" i="1"/>
  <c r="AR3" i="11"/>
  <c r="AP484" i="1"/>
  <c r="AP486" i="1" s="1"/>
  <c r="AP4" i="9"/>
  <c r="AP6" i="9" s="1"/>
  <c r="AP11" i="9" s="1"/>
  <c r="BF23" i="1"/>
  <c r="BF18" i="9" s="1"/>
  <c r="BF28" i="1"/>
  <c r="BF32" i="1" s="1"/>
  <c r="BF20" i="9" s="1"/>
  <c r="BE110" i="9"/>
  <c r="BE111" i="9" s="1"/>
  <c r="BE695" i="1"/>
  <c r="AN100" i="9"/>
  <c r="AQ100" i="9"/>
  <c r="AP100" i="9"/>
  <c r="AR100" i="9"/>
  <c r="AQ484" i="1"/>
  <c r="AQ486" i="1" s="1"/>
  <c r="AQ4" i="9"/>
  <c r="AQ6" i="9" s="1"/>
  <c r="AQ11" i="9" s="1"/>
  <c r="AP472" i="1"/>
  <c r="AP473" i="1" s="1"/>
  <c r="AP474" i="1" s="1"/>
  <c r="BG189" i="1"/>
  <c r="BG133" i="1"/>
  <c r="BG17" i="9" s="1"/>
  <c r="BE231" i="1"/>
  <c r="BE387" i="1"/>
  <c r="AO126" i="9"/>
  <c r="AO11" i="9"/>
  <c r="AR766" i="1"/>
  <c r="BG190" i="1"/>
  <c r="BE385" i="1"/>
  <c r="BE221" i="1"/>
  <c r="BE226" i="1"/>
  <c r="BE386" i="1"/>
  <c r="AO479" i="1"/>
  <c r="AO474" i="1"/>
  <c r="BG232" i="1"/>
  <c r="AS1" i="9"/>
  <c r="AS766" i="1"/>
  <c r="AS3" i="1"/>
  <c r="AT4" i="1"/>
  <c r="AS791" i="1"/>
  <c r="AS789" i="1" s="1"/>
  <c r="AS485" i="1" s="1"/>
  <c r="AS793" i="1"/>
  <c r="AS792" i="1"/>
  <c r="AS4" i="11"/>
  <c r="AN465" i="1"/>
  <c r="AN467" i="1"/>
  <c r="AQ472" i="1"/>
  <c r="AQ473" i="1" s="1"/>
  <c r="AQ474" i="1" s="1"/>
  <c r="BF379" i="1"/>
  <c r="BF202" i="1"/>
  <c r="BF203" i="1" s="1"/>
  <c r="BF197" i="1"/>
  <c r="BF198" i="1"/>
  <c r="BF199" i="1"/>
  <c r="BF200" i="1"/>
  <c r="BG222" i="1"/>
  <c r="BG227" i="1"/>
  <c r="M92" i="10"/>
  <c r="P92" i="10" l="1"/>
  <c r="O92" i="10"/>
  <c r="AS3" i="11"/>
  <c r="BG181" i="1"/>
  <c r="BG16" i="1" s="1"/>
  <c r="BG19" i="1" s="1"/>
  <c r="BG31" i="9" s="1"/>
  <c r="BG192" i="1"/>
  <c r="BG201" i="1" s="1"/>
  <c r="BG21" i="1"/>
  <c r="AR107" i="9"/>
  <c r="AR103" i="9"/>
  <c r="AS786" i="1"/>
  <c r="AS777" i="1"/>
  <c r="AS775" i="1" s="1"/>
  <c r="AS483" i="1" s="1"/>
  <c r="AS770" i="1"/>
  <c r="AS768" i="1" s="1"/>
  <c r="AS482" i="1" s="1"/>
  <c r="AS784" i="1"/>
  <c r="AS782" i="1" s="1"/>
  <c r="AS779" i="1"/>
  <c r="AS772" i="1"/>
  <c r="AO477" i="1"/>
  <c r="AO480" i="1"/>
  <c r="BE37" i="9"/>
  <c r="BE322" i="1"/>
  <c r="BE59" i="9" s="1"/>
  <c r="AP107" i="9"/>
  <c r="AP103" i="9"/>
  <c r="BE317" i="1"/>
  <c r="BE38" i="9"/>
  <c r="BE60" i="9" s="1"/>
  <c r="AR784" i="1"/>
  <c r="AR782" i="1" s="1"/>
  <c r="AR779" i="1"/>
  <c r="AR772" i="1"/>
  <c r="AR786" i="1"/>
  <c r="AR777" i="1"/>
  <c r="AR775" i="1" s="1"/>
  <c r="AR483" i="1" s="1"/>
  <c r="AR770" i="1"/>
  <c r="AR768" i="1" s="1"/>
  <c r="AR482" i="1" s="1"/>
  <c r="AR793" i="1"/>
  <c r="AR791" i="1"/>
  <c r="AR789" i="1" s="1"/>
  <c r="AR485" i="1" s="1"/>
  <c r="AQ103" i="9"/>
  <c r="AQ107" i="9"/>
  <c r="BF34" i="9"/>
  <c r="BF684" i="1"/>
  <c r="BF573" i="1" s="1"/>
  <c r="BF678" i="1"/>
  <c r="BF681" i="1"/>
  <c r="BF572" i="1" s="1"/>
  <c r="BF658" i="1"/>
  <c r="BF444" i="1"/>
  <c r="BF393" i="1" s="1"/>
  <c r="BF206" i="1"/>
  <c r="BF714" i="1"/>
  <c r="AT1" i="9"/>
  <c r="AT3" i="1"/>
  <c r="AS641" i="1" s="1"/>
  <c r="AU4" i="1"/>
  <c r="AT792" i="1"/>
  <c r="AT4" i="11"/>
  <c r="BE36" i="9"/>
  <c r="BE321" i="1"/>
  <c r="BE58" i="9" s="1"/>
  <c r="AO127" i="9"/>
  <c r="AO124" i="9"/>
  <c r="AN107" i="9"/>
  <c r="AN103" i="9"/>
  <c r="AN415" i="1"/>
  <c r="AN412" i="1"/>
  <c r="AN421" i="1" s="1"/>
  <c r="AN420" i="1"/>
  <c r="AN134" i="9"/>
  <c r="M93" i="10"/>
  <c r="P93" i="10" l="1"/>
  <c r="O93" i="10"/>
  <c r="AT766" i="1"/>
  <c r="BF570" i="1"/>
  <c r="AS642" i="1"/>
  <c r="BG200" i="1"/>
  <c r="AU1" i="9"/>
  <c r="AU766" i="1"/>
  <c r="AU3" i="1"/>
  <c r="AV4" i="1"/>
  <c r="AU792" i="1"/>
  <c r="AU791" i="1"/>
  <c r="AU789" i="1" s="1"/>
  <c r="AU485" i="1" s="1"/>
  <c r="AU793" i="1"/>
  <c r="AU4" i="11"/>
  <c r="BF209" i="1"/>
  <c r="BF230" i="1"/>
  <c r="BF225" i="1"/>
  <c r="BF220" i="1"/>
  <c r="BF571" i="1"/>
  <c r="BF685" i="1"/>
  <c r="AR484" i="1"/>
  <c r="AR486" i="1" s="1"/>
  <c r="AR4" i="9"/>
  <c r="AR6" i="9" s="1"/>
  <c r="AR11" i="9" s="1"/>
  <c r="AS484" i="1"/>
  <c r="AS486" i="1" s="1"/>
  <c r="AS472" i="1" s="1"/>
  <c r="AS473" i="1" s="1"/>
  <c r="AS474" i="1" s="1"/>
  <c r="AS4" i="9"/>
  <c r="AS6" i="9" s="1"/>
  <c r="AS11" i="9" s="1"/>
  <c r="BG28" i="1"/>
  <c r="BG32" i="1" s="1"/>
  <c r="BG20" i="9" s="1"/>
  <c r="BG23" i="1"/>
  <c r="BG18" i="9" s="1"/>
  <c r="AN53" i="9"/>
  <c r="AN422" i="1"/>
  <c r="AN54" i="9" s="1"/>
  <c r="AN84" i="9" s="1"/>
  <c r="AO724" i="1"/>
  <c r="AS399" i="1"/>
  <c r="AP463" i="1"/>
  <c r="AQ463" i="1"/>
  <c r="AR640" i="1"/>
  <c r="AP640" i="1"/>
  <c r="AR463" i="1"/>
  <c r="AQ640" i="1"/>
  <c r="AQ461" i="1"/>
  <c r="AR461" i="1"/>
  <c r="AQ639" i="1"/>
  <c r="AR639" i="1"/>
  <c r="AS639" i="1"/>
  <c r="AS461" i="1"/>
  <c r="AP639" i="1"/>
  <c r="AS640" i="1"/>
  <c r="AP461" i="1"/>
  <c r="AQ465" i="1"/>
  <c r="AR465" i="1"/>
  <c r="AP465" i="1"/>
  <c r="AT3" i="11"/>
  <c r="AP641" i="1"/>
  <c r="AP642" i="1"/>
  <c r="AQ641" i="1"/>
  <c r="AQ642" i="1"/>
  <c r="AR641" i="1"/>
  <c r="AR642" i="1"/>
  <c r="BF561" i="1"/>
  <c r="BF698" i="1" s="1"/>
  <c r="BF328" i="1"/>
  <c r="AR472" i="1"/>
  <c r="AR473" i="1" s="1"/>
  <c r="AR474" i="1" s="1"/>
  <c r="BG379" i="1"/>
  <c r="BG202" i="1"/>
  <c r="BG203" i="1" s="1"/>
  <c r="BG197" i="1"/>
  <c r="BG198" i="1"/>
  <c r="BG199" i="1"/>
  <c r="BF386" i="1" l="1"/>
  <c r="BF226" i="1"/>
  <c r="AU3" i="11"/>
  <c r="AT786" i="1"/>
  <c r="AT777" i="1"/>
  <c r="AT775" i="1" s="1"/>
  <c r="AT483" i="1" s="1"/>
  <c r="AT770" i="1"/>
  <c r="AT768" i="1" s="1"/>
  <c r="AT482" i="1" s="1"/>
  <c r="AT784" i="1"/>
  <c r="AT782" i="1" s="1"/>
  <c r="AT779" i="1"/>
  <c r="AT772" i="1"/>
  <c r="AT793" i="1"/>
  <c r="AT791" i="1"/>
  <c r="AT789" i="1" s="1"/>
  <c r="AT485" i="1" s="1"/>
  <c r="BG34" i="9"/>
  <c r="BG678" i="1"/>
  <c r="BG681" i="1"/>
  <c r="BG572" i="1" s="1"/>
  <c r="BG658" i="1"/>
  <c r="BG570" i="1" s="1"/>
  <c r="BG684" i="1"/>
  <c r="BG573" i="1" s="1"/>
  <c r="BG444" i="1"/>
  <c r="BG393" i="1" s="1"/>
  <c r="BG206" i="1"/>
  <c r="BF110" i="9"/>
  <c r="BF111" i="9" s="1"/>
  <c r="BF695" i="1"/>
  <c r="BF387" i="1"/>
  <c r="BF231" i="1"/>
  <c r="AU784" i="1"/>
  <c r="AU782" i="1" s="1"/>
  <c r="AU779" i="1"/>
  <c r="AU772" i="1"/>
  <c r="AU786" i="1"/>
  <c r="AU777" i="1"/>
  <c r="AU775" i="1" s="1"/>
  <c r="AU483" i="1" s="1"/>
  <c r="AU770" i="1"/>
  <c r="AU768" i="1" s="1"/>
  <c r="AU482" i="1" s="1"/>
  <c r="BG714" i="1"/>
  <c r="AN133" i="9"/>
  <c r="AN118" i="9"/>
  <c r="AN94" i="9"/>
  <c r="BF74" i="9"/>
  <c r="AS462" i="1"/>
  <c r="AS40" i="9"/>
  <c r="AS42" i="9" s="1"/>
  <c r="AS47" i="9" s="1"/>
  <c r="AS402" i="1"/>
  <c r="BF221" i="1"/>
  <c r="BF385" i="1"/>
  <c r="AV1" i="9"/>
  <c r="AW4" i="1"/>
  <c r="AV3" i="1"/>
  <c r="AV792" i="1"/>
  <c r="AV4" i="11"/>
  <c r="AU484" i="1" l="1"/>
  <c r="AU486" i="1" s="1"/>
  <c r="AU472" i="1" s="1"/>
  <c r="AU473" i="1" s="1"/>
  <c r="AU474" i="1" s="1"/>
  <c r="AU4" i="9"/>
  <c r="AU6" i="9" s="1"/>
  <c r="AU11" i="9" s="1"/>
  <c r="BG209" i="1"/>
  <c r="BG220" i="1"/>
  <c r="BG230" i="1"/>
  <c r="BG225" i="1"/>
  <c r="AS99" i="9"/>
  <c r="AS48" i="9"/>
  <c r="AN95" i="9"/>
  <c r="AN98" i="9" s="1"/>
  <c r="AQ95" i="9"/>
  <c r="AQ98" i="9" s="1"/>
  <c r="AP95" i="9"/>
  <c r="AP98" i="9" s="1"/>
  <c r="AR95" i="9"/>
  <c r="AR98" i="9" s="1"/>
  <c r="BF317" i="1"/>
  <c r="BF38" i="9"/>
  <c r="BF60" i="9" s="1"/>
  <c r="AS463" i="1"/>
  <c r="AS464" i="1"/>
  <c r="AW1" i="9"/>
  <c r="AW766" i="1"/>
  <c r="AW3" i="1"/>
  <c r="AX4" i="1"/>
  <c r="AW793" i="1"/>
  <c r="AW791" i="1"/>
  <c r="AW789" i="1" s="1"/>
  <c r="AW485" i="1" s="1"/>
  <c r="AW792" i="1"/>
  <c r="AW4" i="11"/>
  <c r="BG561" i="1"/>
  <c r="BG698" i="1" s="1"/>
  <c r="BG328" i="1"/>
  <c r="BG571" i="1"/>
  <c r="BG685" i="1"/>
  <c r="AV3" i="11"/>
  <c r="AV766" i="1"/>
  <c r="AS406" i="1"/>
  <c r="AS417" i="1"/>
  <c r="AS418" i="1"/>
  <c r="BF37" i="9"/>
  <c r="BF322" i="1"/>
  <c r="BF59" i="9" s="1"/>
  <c r="BG74" i="9"/>
  <c r="AT484" i="1"/>
  <c r="AT486" i="1" s="1"/>
  <c r="AT472" i="1" s="1"/>
  <c r="AT4" i="9"/>
  <c r="BF36" i="9"/>
  <c r="BF321" i="1"/>
  <c r="BF58" i="9" s="1"/>
  <c r="AT478" i="1" l="1"/>
  <c r="AT476" i="1"/>
  <c r="AT473" i="1"/>
  <c r="AW3" i="11"/>
  <c r="AS100" i="9"/>
  <c r="AW100" i="9"/>
  <c r="AU100" i="9"/>
  <c r="AV100" i="9"/>
  <c r="BG385" i="1"/>
  <c r="BG221" i="1"/>
  <c r="AT125" i="9"/>
  <c r="AT123" i="9"/>
  <c r="AT6" i="9"/>
  <c r="AW786" i="1"/>
  <c r="AW777" i="1"/>
  <c r="AW775" i="1" s="1"/>
  <c r="AW483" i="1" s="1"/>
  <c r="AW770" i="1"/>
  <c r="AW768" i="1" s="1"/>
  <c r="AW482" i="1" s="1"/>
  <c r="AW784" i="1"/>
  <c r="AW782" i="1" s="1"/>
  <c r="AW779" i="1"/>
  <c r="AW772" i="1"/>
  <c r="AS410" i="1"/>
  <c r="AS716" i="1"/>
  <c r="AS711" i="1"/>
  <c r="AS710" i="1"/>
  <c r="AR716" i="1"/>
  <c r="AU716" i="1"/>
  <c r="AT723" i="1"/>
  <c r="BG386" i="1"/>
  <c r="BG226" i="1"/>
  <c r="AV784" i="1"/>
  <c r="AV782" i="1" s="1"/>
  <c r="AV779" i="1"/>
  <c r="AV772" i="1"/>
  <c r="AV786" i="1"/>
  <c r="AV777" i="1"/>
  <c r="AV775" i="1" s="1"/>
  <c r="AV483" i="1" s="1"/>
  <c r="AV770" i="1"/>
  <c r="AV768" i="1" s="1"/>
  <c r="AV482" i="1" s="1"/>
  <c r="AV791" i="1"/>
  <c r="AV789" i="1" s="1"/>
  <c r="AV485" i="1" s="1"/>
  <c r="AV793" i="1"/>
  <c r="BG110" i="9"/>
  <c r="BG111" i="9" s="1"/>
  <c r="BG695" i="1"/>
  <c r="AX1" i="9"/>
  <c r="AX3" i="1"/>
  <c r="AY4" i="1"/>
  <c r="AX792" i="1"/>
  <c r="AX4" i="11"/>
  <c r="AS465" i="1"/>
  <c r="AS467" i="1"/>
  <c r="BG387" i="1"/>
  <c r="BG231" i="1"/>
  <c r="M52" i="10"/>
  <c r="O52" i="10" l="1"/>
  <c r="P52" i="10"/>
  <c r="BG37" i="9"/>
  <c r="BG322" i="1"/>
  <c r="BG59" i="9" s="1"/>
  <c r="AX3" i="11"/>
  <c r="AX766" i="1"/>
  <c r="AS412" i="1"/>
  <c r="AS421" i="1" s="1"/>
  <c r="AS420" i="1"/>
  <c r="AS415" i="1"/>
  <c r="AS134" i="9"/>
  <c r="AW484" i="1"/>
  <c r="AW486" i="1" s="1"/>
  <c r="AW472" i="1" s="1"/>
  <c r="AW473" i="1" s="1"/>
  <c r="AW474" i="1" s="1"/>
  <c r="AW4" i="9"/>
  <c r="AW6" i="9" s="1"/>
  <c r="AW11" i="9" s="1"/>
  <c r="AW103" i="9"/>
  <c r="AW107" i="9"/>
  <c r="BG36" i="9"/>
  <c r="BG321" i="1"/>
  <c r="BG58" i="9" s="1"/>
  <c r="AT126" i="9"/>
  <c r="AT11" i="9"/>
  <c r="BG317" i="1"/>
  <c r="BG38" i="9"/>
  <c r="BG60" i="9" s="1"/>
  <c r="AS103" i="9"/>
  <c r="AS107" i="9"/>
  <c r="AT479" i="1"/>
  <c r="AT474" i="1"/>
  <c r="AV103" i="9"/>
  <c r="AV107" i="9"/>
  <c r="AY1" i="9"/>
  <c r="AY766" i="1"/>
  <c r="AY3" i="1"/>
  <c r="AX628" i="1" s="1"/>
  <c r="AZ4" i="1"/>
  <c r="AY791" i="1"/>
  <c r="AY789" i="1" s="1"/>
  <c r="AY485" i="1" s="1"/>
  <c r="AY472" i="1" s="1"/>
  <c r="AY792" i="1"/>
  <c r="AY793" i="1"/>
  <c r="AY4" i="11"/>
  <c r="AV484" i="1"/>
  <c r="AV486" i="1" s="1"/>
  <c r="AV472" i="1" s="1"/>
  <c r="AV473" i="1" s="1"/>
  <c r="AV474" i="1" s="1"/>
  <c r="AV4" i="9"/>
  <c r="AV6" i="9" s="1"/>
  <c r="AV11" i="9" s="1"/>
  <c r="AU103" i="9"/>
  <c r="AU107" i="9"/>
  <c r="M53" i="10"/>
  <c r="O53" i="10" l="1"/>
  <c r="P53" i="10"/>
  <c r="AX392" i="1"/>
  <c r="AX641" i="1"/>
  <c r="AX669" i="1"/>
  <c r="AY628" i="1"/>
  <c r="AX634" i="1"/>
  <c r="AZ1" i="9"/>
  <c r="AZ766" i="1"/>
  <c r="BA4" i="1"/>
  <c r="AZ3" i="1"/>
  <c r="AZ791" i="1"/>
  <c r="AZ789" i="1" s="1"/>
  <c r="AZ485" i="1" s="1"/>
  <c r="AZ472" i="1" s="1"/>
  <c r="AZ793" i="1"/>
  <c r="AZ792" i="1"/>
  <c r="AZ4" i="11"/>
  <c r="AT127" i="9"/>
  <c r="AT124" i="9"/>
  <c r="AW463" i="1"/>
  <c r="AU640" i="1"/>
  <c r="AW640" i="1"/>
  <c r="AU463" i="1"/>
  <c r="AV463" i="1"/>
  <c r="AV640" i="1"/>
  <c r="AV461" i="1"/>
  <c r="AW639" i="1"/>
  <c r="AV639" i="1"/>
  <c r="AU639" i="1"/>
  <c r="AW461" i="1"/>
  <c r="AU461" i="1"/>
  <c r="AU465" i="1"/>
  <c r="AV465" i="1"/>
  <c r="AW465" i="1"/>
  <c r="AY3" i="11"/>
  <c r="AU642" i="1"/>
  <c r="AU641" i="1"/>
  <c r="AV641" i="1"/>
  <c r="AV642" i="1"/>
  <c r="AW642" i="1"/>
  <c r="AW641" i="1"/>
  <c r="AX786" i="1"/>
  <c r="AX777" i="1"/>
  <c r="AX775" i="1" s="1"/>
  <c r="AX770" i="1"/>
  <c r="AX768" i="1" s="1"/>
  <c r="AX784" i="1"/>
  <c r="AX782" i="1" s="1"/>
  <c r="AX779" i="1"/>
  <c r="AX772" i="1"/>
  <c r="AX791" i="1"/>
  <c r="AX789" i="1" s="1"/>
  <c r="AX485" i="1" s="1"/>
  <c r="AX793" i="1"/>
  <c r="AX462" i="1"/>
  <c r="AY784" i="1"/>
  <c r="AY782" i="1" s="1"/>
  <c r="AY779" i="1"/>
  <c r="AY772" i="1"/>
  <c r="AY786" i="1"/>
  <c r="AY777" i="1"/>
  <c r="AY775" i="1" s="1"/>
  <c r="AY770" i="1"/>
  <c r="AY768" i="1" s="1"/>
  <c r="AT477" i="1"/>
  <c r="AT480" i="1"/>
  <c r="AS53" i="9"/>
  <c r="AS422" i="1"/>
  <c r="AS54" i="9" s="1"/>
  <c r="AS84" i="9" s="1"/>
  <c r="AT724" i="1"/>
  <c r="AX460" i="1"/>
  <c r="AY641" i="1" l="1"/>
  <c r="AY639" i="1"/>
  <c r="AY640" i="1"/>
  <c r="AZ3" i="11"/>
  <c r="AX243" i="1"/>
  <c r="AX668" i="1"/>
  <c r="AY634" i="1"/>
  <c r="AX642" i="1"/>
  <c r="AY642" i="1" s="1"/>
  <c r="AX426" i="1"/>
  <c r="AX427" i="1"/>
  <c r="AX425" i="1"/>
  <c r="AX472" i="1"/>
  <c r="BA1" i="9"/>
  <c r="BA3" i="1"/>
  <c r="BA766" i="1" s="1"/>
  <c r="BB4" i="1"/>
  <c r="BA793" i="1"/>
  <c r="BA791" i="1"/>
  <c r="BA789" i="1" s="1"/>
  <c r="BA485" i="1" s="1"/>
  <c r="BA472" i="1" s="1"/>
  <c r="BA792" i="1"/>
  <c r="BA4" i="11"/>
  <c r="AX560" i="1"/>
  <c r="AY560" i="1" s="1"/>
  <c r="AX327" i="1"/>
  <c r="AY392" i="1"/>
  <c r="AS133" i="9"/>
  <c r="AS118" i="9"/>
  <c r="AS94" i="9"/>
  <c r="AZ784" i="1"/>
  <c r="AZ782" i="1" s="1"/>
  <c r="AZ779" i="1"/>
  <c r="AZ772" i="1"/>
  <c r="AZ786" i="1"/>
  <c r="AZ777" i="1"/>
  <c r="AZ775" i="1" s="1"/>
  <c r="AZ770" i="1"/>
  <c r="AZ768" i="1" s="1"/>
  <c r="AX464" i="1"/>
  <c r="AX398" i="1"/>
  <c r="AY460" i="1"/>
  <c r="AY461" i="1" s="1"/>
  <c r="AX399" i="1"/>
  <c r="AY399" i="1" s="1"/>
  <c r="AY462" i="1"/>
  <c r="AY669" i="1"/>
  <c r="AX631" i="1"/>
  <c r="AX630" i="1" s="1"/>
  <c r="BA786" i="1" l="1"/>
  <c r="BA777" i="1"/>
  <c r="BA775" i="1" s="1"/>
  <c r="BA770" i="1"/>
  <c r="BA768" i="1" s="1"/>
  <c r="BA784" i="1"/>
  <c r="BA782" i="1" s="1"/>
  <c r="BA779" i="1"/>
  <c r="BA772" i="1"/>
  <c r="AX465" i="1"/>
  <c r="AY464" i="1"/>
  <c r="AY465" i="1" s="1"/>
  <c r="AZ425" i="1"/>
  <c r="AX437" i="1"/>
  <c r="AY425" i="1"/>
  <c r="AX5" i="9"/>
  <c r="AX473" i="1"/>
  <c r="AZ427" i="1"/>
  <c r="AY427" i="1"/>
  <c r="AY668" i="1"/>
  <c r="AX637" i="1"/>
  <c r="AX636" i="1" s="1"/>
  <c r="AY327" i="1"/>
  <c r="BB1" i="9"/>
  <c r="BB766" i="1"/>
  <c r="BB3" i="1"/>
  <c r="BC4" i="1"/>
  <c r="BB793" i="1"/>
  <c r="BB792" i="1"/>
  <c r="BB791" i="1"/>
  <c r="BB789" i="1" s="1"/>
  <c r="BB485" i="1" s="1"/>
  <c r="BB472" i="1" s="1"/>
  <c r="BB4" i="11"/>
  <c r="AZ426" i="1"/>
  <c r="AY426" i="1"/>
  <c r="AX558" i="1"/>
  <c r="AX208" i="1"/>
  <c r="AX245" i="1"/>
  <c r="AX247" i="1" s="1"/>
  <c r="AY243" i="1"/>
  <c r="AY245" i="1" s="1"/>
  <c r="AY631" i="1"/>
  <c r="AX40" i="9"/>
  <c r="AY398" i="1"/>
  <c r="AY40" i="9" s="1"/>
  <c r="AS95" i="9"/>
  <c r="AS98" i="9" s="1"/>
  <c r="AV95" i="9"/>
  <c r="AV98" i="9" s="1"/>
  <c r="AW95" i="9"/>
  <c r="AW98" i="9" s="1"/>
  <c r="AU95" i="9"/>
  <c r="AU98" i="9" s="1"/>
  <c r="BA3" i="11"/>
  <c r="BB3" i="11" l="1"/>
  <c r="AY5" i="9"/>
  <c r="AY473" i="1"/>
  <c r="AY247" i="1"/>
  <c r="BD241" i="1"/>
  <c r="AZ241" i="1"/>
  <c r="BB786" i="1"/>
  <c r="BB777" i="1"/>
  <c r="BB775" i="1" s="1"/>
  <c r="BB770" i="1"/>
  <c r="BB768" i="1" s="1"/>
  <c r="BB784" i="1"/>
  <c r="BB782" i="1" s="1"/>
  <c r="BB779" i="1"/>
  <c r="BB772" i="1"/>
  <c r="BA427" i="1"/>
  <c r="AZ473" i="1"/>
  <c r="AZ5" i="9"/>
  <c r="AX70" i="9"/>
  <c r="AX722" i="1"/>
  <c r="AX602" i="1"/>
  <c r="AY558" i="1"/>
  <c r="AY644" i="1" s="1"/>
  <c r="AX644" i="1"/>
  <c r="BA426" i="1"/>
  <c r="BB426" i="1" s="1"/>
  <c r="BA425" i="1"/>
  <c r="AZ437" i="1"/>
  <c r="AY630" i="1"/>
  <c r="BD627" i="1"/>
  <c r="AZ627" i="1"/>
  <c r="AY208" i="1"/>
  <c r="AY210" i="1" s="1"/>
  <c r="AY214" i="1" s="1"/>
  <c r="AX210" i="1"/>
  <c r="AX214" i="1" s="1"/>
  <c r="BC1" i="9"/>
  <c r="BC791" i="1"/>
  <c r="BC789" i="1" s="1"/>
  <c r="BC485" i="1" s="1"/>
  <c r="BC472" i="1" s="1"/>
  <c r="BC766" i="1"/>
  <c r="BC3" i="1"/>
  <c r="BD4" i="1"/>
  <c r="BC792" i="1"/>
  <c r="BC793" i="1"/>
  <c r="BC4" i="11"/>
  <c r="AY637" i="1"/>
  <c r="AX6" i="9"/>
  <c r="AX116" i="9"/>
  <c r="BD1" i="9" l="1"/>
  <c r="BD766" i="1"/>
  <c r="BE4" i="1"/>
  <c r="BD3" i="1"/>
  <c r="BD791" i="1"/>
  <c r="BD789" i="1" s="1"/>
  <c r="BD485" i="1" s="1"/>
  <c r="BD472" i="1" s="1"/>
  <c r="BD792" i="1"/>
  <c r="BD793" i="1"/>
  <c r="BD4" i="11"/>
  <c r="AY602" i="1"/>
  <c r="AX605" i="1"/>
  <c r="AZ6" i="9"/>
  <c r="AZ116" i="9"/>
  <c r="BC460" i="1"/>
  <c r="BC3" i="11"/>
  <c r="AX235" i="1"/>
  <c r="AX215" i="1"/>
  <c r="AX383" i="1"/>
  <c r="AX216" i="1"/>
  <c r="AX218" i="1" s="1"/>
  <c r="BC426" i="1"/>
  <c r="AY6" i="9"/>
  <c r="AY116" i="9"/>
  <c r="BC784" i="1"/>
  <c r="BC782" i="1" s="1"/>
  <c r="BC779" i="1"/>
  <c r="BC772" i="1"/>
  <c r="BC786" i="1"/>
  <c r="BC777" i="1"/>
  <c r="BC775" i="1" s="1"/>
  <c r="BC770" i="1"/>
  <c r="BC768" i="1" s="1"/>
  <c r="AY216" i="1"/>
  <c r="AY218" i="1" s="1"/>
  <c r="AY215" i="1"/>
  <c r="AZ602" i="1"/>
  <c r="AZ70" i="9"/>
  <c r="AZ722" i="1"/>
  <c r="BA5" i="9"/>
  <c r="BB427" i="1"/>
  <c r="BA473" i="1"/>
  <c r="BD633" i="1"/>
  <c r="AZ633" i="1"/>
  <c r="AY636" i="1"/>
  <c r="AZ628" i="1"/>
  <c r="AZ641" i="1" s="1"/>
  <c r="BB425" i="1"/>
  <c r="BA437" i="1"/>
  <c r="AX314" i="1" l="1"/>
  <c r="AX388" i="1"/>
  <c r="AX382" i="1"/>
  <c r="BD3" i="11"/>
  <c r="AZ460" i="1"/>
  <c r="BA460" i="1"/>
  <c r="BB460" i="1"/>
  <c r="BA722" i="1"/>
  <c r="BA602" i="1"/>
  <c r="BA605" i="1" s="1"/>
  <c r="BA70" i="9"/>
  <c r="BC398" i="1"/>
  <c r="AY728" i="1"/>
  <c r="BE1" i="9"/>
  <c r="BE766" i="1"/>
  <c r="BE3" i="1"/>
  <c r="BE3" i="11" s="1"/>
  <c r="BF4" i="1"/>
  <c r="BE791" i="1"/>
  <c r="BE789" i="1" s="1"/>
  <c r="BE485" i="1" s="1"/>
  <c r="BE472" i="1" s="1"/>
  <c r="BE792" i="1"/>
  <c r="BE793" i="1"/>
  <c r="BE4" i="11"/>
  <c r="BB437" i="1"/>
  <c r="BC425" i="1"/>
  <c r="AZ642" i="1"/>
  <c r="AZ634" i="1"/>
  <c r="BB473" i="1"/>
  <c r="BB5" i="9"/>
  <c r="BC427" i="1"/>
  <c r="AZ605" i="1"/>
  <c r="BE426" i="1"/>
  <c r="AX237" i="1"/>
  <c r="AX238" i="1" s="1"/>
  <c r="AY235" i="1"/>
  <c r="AX236" i="1"/>
  <c r="AY437" i="1"/>
  <c r="AY605" i="1"/>
  <c r="BD784" i="1"/>
  <c r="BD782" i="1" s="1"/>
  <c r="BD779" i="1"/>
  <c r="BD772" i="1"/>
  <c r="BD786" i="1"/>
  <c r="BD777" i="1"/>
  <c r="BD775" i="1" s="1"/>
  <c r="BD770" i="1"/>
  <c r="BD768" i="1" s="1"/>
  <c r="AZ392" i="1"/>
  <c r="AZ669" i="1"/>
  <c r="BA6" i="9"/>
  <c r="BA116" i="9"/>
  <c r="BD426" i="1"/>
  <c r="M10" i="10"/>
  <c r="P10" i="10" l="1"/>
  <c r="O10" i="10"/>
  <c r="AZ631" i="1"/>
  <c r="AY236" i="1"/>
  <c r="AY237" i="1"/>
  <c r="AY238" i="1" s="1"/>
  <c r="AZ243" i="1"/>
  <c r="AZ668" i="1"/>
  <c r="BF1" i="9"/>
  <c r="BF766" i="1"/>
  <c r="BF3" i="1"/>
  <c r="BF3" i="11" s="1"/>
  <c r="BG4" i="1"/>
  <c r="BF792" i="1"/>
  <c r="BF793" i="1"/>
  <c r="BF791" i="1"/>
  <c r="BF789" i="1" s="1"/>
  <c r="BF485" i="1" s="1"/>
  <c r="BF472" i="1" s="1"/>
  <c r="BF4" i="11"/>
  <c r="BA398" i="1"/>
  <c r="AX389" i="1"/>
  <c r="AX402" i="1"/>
  <c r="AX108" i="9"/>
  <c r="AX109" i="9" s="1"/>
  <c r="AX323" i="1"/>
  <c r="AX394" i="1"/>
  <c r="AZ560" i="1"/>
  <c r="AZ327" i="1"/>
  <c r="BC5" i="9"/>
  <c r="BC473" i="1"/>
  <c r="BE427" i="1"/>
  <c r="BD460" i="1"/>
  <c r="BD461" i="1" s="1"/>
  <c r="AZ398" i="1"/>
  <c r="AY70" i="9"/>
  <c r="AY722" i="1"/>
  <c r="AY729" i="1"/>
  <c r="BB6" i="9"/>
  <c r="BB116" i="9"/>
  <c r="BD425" i="1"/>
  <c r="BE425" i="1"/>
  <c r="BC437" i="1"/>
  <c r="BE786" i="1"/>
  <c r="BE777" i="1"/>
  <c r="BE775" i="1" s="1"/>
  <c r="BE770" i="1"/>
  <c r="BE768" i="1" s="1"/>
  <c r="BE784" i="1"/>
  <c r="BE782" i="1" s="1"/>
  <c r="BE779" i="1"/>
  <c r="BE772" i="1"/>
  <c r="BD427" i="1"/>
  <c r="BB70" i="9"/>
  <c r="BB602" i="1"/>
  <c r="BB722" i="1"/>
  <c r="BB398" i="1"/>
  <c r="AX35" i="9"/>
  <c r="AX39" i="9" s="1"/>
  <c r="AY382" i="1"/>
  <c r="AX313" i="1"/>
  <c r="AX57" i="9" s="1"/>
  <c r="M11" i="10"/>
  <c r="BF426" i="1" l="1"/>
  <c r="O11" i="10"/>
  <c r="P11" i="10"/>
  <c r="AY313" i="1"/>
  <c r="AY35" i="9"/>
  <c r="AY39" i="9" s="1"/>
  <c r="AY383" i="1"/>
  <c r="AY388" i="1" s="1"/>
  <c r="BD5" i="9"/>
  <c r="BD473" i="1"/>
  <c r="BF425" i="1"/>
  <c r="BE437" i="1"/>
  <c r="BF427" i="1"/>
  <c r="BE473" i="1"/>
  <c r="BE5" i="9"/>
  <c r="AX329" i="1"/>
  <c r="AX63" i="9" s="1"/>
  <c r="AX395" i="1"/>
  <c r="AX52" i="9"/>
  <c r="AX132" i="9" s="1"/>
  <c r="AX324" i="1"/>
  <c r="AX62" i="9" s="1"/>
  <c r="AZ558" i="1"/>
  <c r="AZ208" i="1"/>
  <c r="AZ245" i="1"/>
  <c r="BA627" i="1"/>
  <c r="AZ630" i="1"/>
  <c r="AX131" i="9"/>
  <c r="AX42" i="9"/>
  <c r="BD398" i="1"/>
  <c r="AX61" i="9"/>
  <c r="BF786" i="1"/>
  <c r="BF777" i="1"/>
  <c r="BF775" i="1" s="1"/>
  <c r="BF770" i="1"/>
  <c r="BF768" i="1" s="1"/>
  <c r="BF784" i="1"/>
  <c r="BF782" i="1" s="1"/>
  <c r="BF779" i="1"/>
  <c r="BF772" i="1"/>
  <c r="BB605" i="1"/>
  <c r="BC6" i="9"/>
  <c r="BC116" i="9"/>
  <c r="BC722" i="1"/>
  <c r="BC602" i="1"/>
  <c r="BC605" i="1" s="1"/>
  <c r="BC70" i="9"/>
  <c r="AX405" i="1"/>
  <c r="AX404" i="1"/>
  <c r="BG1" i="9"/>
  <c r="BG766" i="1"/>
  <c r="BG3" i="1"/>
  <c r="BG3" i="11" s="1"/>
  <c r="BG791" i="1"/>
  <c r="BG789" i="1" s="1"/>
  <c r="BG485" i="1" s="1"/>
  <c r="BG472" i="1" s="1"/>
  <c r="BG792" i="1"/>
  <c r="BG793" i="1"/>
  <c r="BG4" i="11"/>
  <c r="AZ637" i="1"/>
  <c r="AX43" i="9" l="1"/>
  <c r="AX47" i="9" s="1"/>
  <c r="AY404" i="1"/>
  <c r="BF437" i="1"/>
  <c r="BG425" i="1"/>
  <c r="BG437" i="1" s="1"/>
  <c r="AY42" i="9"/>
  <c r="AY131" i="9"/>
  <c r="AY405" i="1"/>
  <c r="AX566" i="1"/>
  <c r="BA628" i="1"/>
  <c r="BA641" i="1" s="1"/>
  <c r="AZ644" i="1"/>
  <c r="AX51" i="9"/>
  <c r="AY395" i="1"/>
  <c r="AX467" i="1"/>
  <c r="AX330" i="1"/>
  <c r="BF473" i="1"/>
  <c r="BF5" i="9"/>
  <c r="BG427" i="1"/>
  <c r="AY57" i="9"/>
  <c r="AY314" i="1"/>
  <c r="BG784" i="1"/>
  <c r="BG782" i="1" s="1"/>
  <c r="BG779" i="1"/>
  <c r="BG772" i="1"/>
  <c r="BG786" i="1"/>
  <c r="BG777" i="1"/>
  <c r="BG775" i="1" s="1"/>
  <c r="BG770" i="1"/>
  <c r="BG768" i="1" s="1"/>
  <c r="AX406" i="1"/>
  <c r="BD602" i="1"/>
  <c r="AZ247" i="1"/>
  <c r="BA241" i="1"/>
  <c r="BG426" i="1"/>
  <c r="BD6" i="9"/>
  <c r="BD116" i="9"/>
  <c r="BA633" i="1"/>
  <c r="AZ636" i="1"/>
  <c r="AZ210" i="1"/>
  <c r="AZ214" i="1" s="1"/>
  <c r="BE6" i="9"/>
  <c r="BE116" i="9"/>
  <c r="BE722" i="1"/>
  <c r="BE602" i="1"/>
  <c r="BE605" i="1" s="1"/>
  <c r="BE70" i="9"/>
  <c r="AY402" i="1"/>
  <c r="AY406" i="1" s="1"/>
  <c r="AY394" i="1"/>
  <c r="AY389" i="1"/>
  <c r="AY108" i="9"/>
  <c r="AY109" i="9" s="1"/>
  <c r="AY323" i="1"/>
  <c r="M44" i="10"/>
  <c r="M6" i="10"/>
  <c r="P6" i="10" l="1"/>
  <c r="O6" i="10"/>
  <c r="O44" i="10"/>
  <c r="P44" i="10"/>
  <c r="AY329" i="1"/>
  <c r="AY63" i="9" s="1"/>
  <c r="AY61" i="9"/>
  <c r="AY410" i="1"/>
  <c r="AY723" i="1"/>
  <c r="BD437" i="1"/>
  <c r="BD605" i="1"/>
  <c r="AX90" i="9"/>
  <c r="AX64" i="9"/>
  <c r="AX130" i="9"/>
  <c r="AX117" i="9"/>
  <c r="AX555" i="1"/>
  <c r="AW716" i="1"/>
  <c r="AX410" i="1"/>
  <c r="BD728" i="1"/>
  <c r="AY52" i="9"/>
  <c r="AY132" i="9" s="1"/>
  <c r="AY324" i="1"/>
  <c r="AY62" i="9" s="1"/>
  <c r="AZ383" i="1"/>
  <c r="AZ216" i="1"/>
  <c r="AZ218" i="1" s="1"/>
  <c r="AZ215" i="1"/>
  <c r="AZ235" i="1"/>
  <c r="BA634" i="1"/>
  <c r="BG473" i="1"/>
  <c r="BG5" i="9"/>
  <c r="AY566" i="1"/>
  <c r="AX670" i="1"/>
  <c r="BG70" i="9"/>
  <c r="BG722" i="1"/>
  <c r="BG602" i="1"/>
  <c r="BG605" i="1" s="1"/>
  <c r="AY417" i="1"/>
  <c r="AY43" i="9"/>
  <c r="AY47" i="9" s="1"/>
  <c r="BF6" i="9"/>
  <c r="BF116" i="9"/>
  <c r="AY51" i="9"/>
  <c r="AY467" i="1"/>
  <c r="AY330" i="1"/>
  <c r="BA392" i="1"/>
  <c r="BA669" i="1"/>
  <c r="AY418" i="1"/>
  <c r="BF70" i="9"/>
  <c r="BF722" i="1"/>
  <c r="BF602" i="1"/>
  <c r="BF605" i="1" s="1"/>
  <c r="AX99" i="9"/>
  <c r="AX100" i="9" s="1"/>
  <c r="AX48" i="9"/>
  <c r="AX134" i="9"/>
  <c r="M12" i="10"/>
  <c r="P12" i="10" l="1"/>
  <c r="O12" i="10"/>
  <c r="BA560" i="1"/>
  <c r="BA327" i="1"/>
  <c r="BA243" i="1"/>
  <c r="BA668" i="1"/>
  <c r="BG6" i="9"/>
  <c r="BG116" i="9"/>
  <c r="BA642" i="1"/>
  <c r="AZ388" i="1"/>
  <c r="AZ314" i="1"/>
  <c r="AZ382" i="1"/>
  <c r="AX420" i="1"/>
  <c r="AX412" i="1"/>
  <c r="BD70" i="9"/>
  <c r="BD722" i="1"/>
  <c r="BD729" i="1"/>
  <c r="BA631" i="1"/>
  <c r="AY134" i="9"/>
  <c r="AY99" i="9"/>
  <c r="AY100" i="9" s="1"/>
  <c r="AY48" i="9"/>
  <c r="AZ237" i="1"/>
  <c r="AZ238" i="1" s="1"/>
  <c r="AZ236" i="1"/>
  <c r="AY130" i="9"/>
  <c r="AY90" i="9"/>
  <c r="AY64" i="9"/>
  <c r="AY117" i="9"/>
  <c r="AY670" i="1"/>
  <c r="AY673" i="1" s="1"/>
  <c r="AX673" i="1"/>
  <c r="AX568" i="1"/>
  <c r="AY555" i="1"/>
  <c r="AY568" i="1" s="1"/>
  <c r="AX702" i="1"/>
  <c r="AY420" i="1"/>
  <c r="AY412" i="1"/>
  <c r="AY430" i="1" l="1"/>
  <c r="AY575" i="1"/>
  <c r="AY608" i="1" s="1"/>
  <c r="AY611" i="1" s="1"/>
  <c r="AY421" i="1"/>
  <c r="AY415" i="1"/>
  <c r="AX575" i="1"/>
  <c r="AX430" i="1"/>
  <c r="AY725" i="1"/>
  <c r="AZ313" i="1"/>
  <c r="AZ57" i="9" s="1"/>
  <c r="AZ35" i="9"/>
  <c r="AZ39" i="9" s="1"/>
  <c r="AZ131" i="9" s="1"/>
  <c r="BA558" i="1"/>
  <c r="BA208" i="1"/>
  <c r="BA245" i="1"/>
  <c r="BB627" i="1"/>
  <c r="BA630" i="1"/>
  <c r="AY702" i="1"/>
  <c r="AX703" i="1"/>
  <c r="AX415" i="1"/>
  <c r="AX421" i="1"/>
  <c r="AZ389" i="1"/>
  <c r="AZ323" i="1"/>
  <c r="AZ61" i="9" s="1"/>
  <c r="AZ108" i="9"/>
  <c r="AZ109" i="9" s="1"/>
  <c r="AZ394" i="1"/>
  <c r="BA637" i="1"/>
  <c r="M13" i="10"/>
  <c r="P13" i="10" l="1"/>
  <c r="O13" i="10"/>
  <c r="AX96" i="9"/>
  <c r="AX97" i="9" s="1"/>
  <c r="AX705" i="1"/>
  <c r="BA247" i="1"/>
  <c r="BB241" i="1"/>
  <c r="AX431" i="1"/>
  <c r="AX67" i="9"/>
  <c r="AX447" i="1"/>
  <c r="AX448" i="1" s="1"/>
  <c r="AX449" i="1" s="1"/>
  <c r="AX450" i="1" s="1"/>
  <c r="AZ52" i="9"/>
  <c r="AZ132" i="9" s="1"/>
  <c r="AZ324" i="1"/>
  <c r="AZ62" i="9" s="1"/>
  <c r="AY703" i="1"/>
  <c r="AY726" i="1"/>
  <c r="AX608" i="1"/>
  <c r="BB633" i="1"/>
  <c r="BA636" i="1"/>
  <c r="AZ395" i="1"/>
  <c r="AZ329" i="1"/>
  <c r="AZ63" i="9" s="1"/>
  <c r="BA210" i="1"/>
  <c r="BA214" i="1" s="1"/>
  <c r="AY724" i="1"/>
  <c r="AY422" i="1"/>
  <c r="AY53" i="9"/>
  <c r="BD610" i="1"/>
  <c r="AZ610" i="1"/>
  <c r="AX53" i="9"/>
  <c r="AX422" i="1"/>
  <c r="AX54" i="9" s="1"/>
  <c r="AX84" i="9" s="1"/>
  <c r="BB641" i="1"/>
  <c r="BB628" i="1"/>
  <c r="BA644" i="1"/>
  <c r="AY447" i="1"/>
  <c r="AY431" i="1"/>
  <c r="AY478" i="1" s="1"/>
  <c r="AY67" i="9"/>
  <c r="BB392" i="1" l="1"/>
  <c r="BB669" i="1"/>
  <c r="AY54" i="9"/>
  <c r="AY476" i="1"/>
  <c r="BB634" i="1"/>
  <c r="AY96" i="9"/>
  <c r="AY97" i="9" s="1"/>
  <c r="AY705" i="1"/>
  <c r="AX80" i="9"/>
  <c r="AX119" i="9"/>
  <c r="AX91" i="9"/>
  <c r="AX69" i="9"/>
  <c r="AY448" i="1"/>
  <c r="AY449" i="1" s="1"/>
  <c r="AY450" i="1" s="1"/>
  <c r="AY479" i="1"/>
  <c r="AX650" i="1"/>
  <c r="AW715" i="1"/>
  <c r="AX611" i="1"/>
  <c r="AZ51" i="9"/>
  <c r="AZ330" i="1"/>
  <c r="AY80" i="9"/>
  <c r="AY125" i="9" s="1"/>
  <c r="AY69" i="9"/>
  <c r="AY119" i="9"/>
  <c r="AY91" i="9"/>
  <c r="AX133" i="9"/>
  <c r="AX94" i="9"/>
  <c r="AX95" i="9" s="1"/>
  <c r="AX98" i="9" s="1"/>
  <c r="AX118" i="9"/>
  <c r="AY133" i="9"/>
  <c r="AY94" i="9"/>
  <c r="AY95" i="9" s="1"/>
  <c r="AY98" i="9" s="1"/>
  <c r="AY118" i="9"/>
  <c r="BA383" i="1"/>
  <c r="BA216" i="1"/>
  <c r="BA218" i="1" s="1"/>
  <c r="BA235" i="1"/>
  <c r="BA215" i="1"/>
  <c r="AY71" i="9" l="1"/>
  <c r="AY78" i="9" s="1"/>
  <c r="AY135" i="9" s="1"/>
  <c r="AY120" i="9"/>
  <c r="AY126" i="9"/>
  <c r="AY81" i="9"/>
  <c r="AY83" i="9" s="1"/>
  <c r="AY84" i="9"/>
  <c r="AY123" i="9"/>
  <c r="BA237" i="1"/>
  <c r="BA238" i="1" s="1"/>
  <c r="BA236" i="1"/>
  <c r="AX659" i="1"/>
  <c r="AX674" i="1" s="1"/>
  <c r="AX453" i="1"/>
  <c r="AY650" i="1"/>
  <c r="BB243" i="1"/>
  <c r="BB668" i="1"/>
  <c r="BB631" i="1"/>
  <c r="AZ117" i="9"/>
  <c r="AZ130" i="9"/>
  <c r="AZ64" i="9"/>
  <c r="AZ90" i="9"/>
  <c r="BB642" i="1"/>
  <c r="BA388" i="1"/>
  <c r="BA314" i="1"/>
  <c r="BA382" i="1"/>
  <c r="AX613" i="1"/>
  <c r="AX120" i="9"/>
  <c r="AX81" i="9"/>
  <c r="AX83" i="9" s="1"/>
  <c r="AX71" i="9"/>
  <c r="AX78" i="9" s="1"/>
  <c r="AX135" i="9" s="1"/>
  <c r="BB560" i="1"/>
  <c r="BB327" i="1"/>
  <c r="BA323" i="1" l="1"/>
  <c r="BA61" i="9" s="1"/>
  <c r="BA108" i="9"/>
  <c r="BA109" i="9" s="1"/>
  <c r="BA394" i="1"/>
  <c r="BA389" i="1"/>
  <c r="BB637" i="1"/>
  <c r="AX7" i="9"/>
  <c r="AX11" i="9" s="1"/>
  <c r="AX458" i="1"/>
  <c r="AX712" i="1"/>
  <c r="AY463" i="1"/>
  <c r="AW717" i="1"/>
  <c r="AX101" i="9"/>
  <c r="AX102" i="9" s="1"/>
  <c r="AX707" i="1"/>
  <c r="BA35" i="9"/>
  <c r="BA39" i="9" s="1"/>
  <c r="BA131" i="9" s="1"/>
  <c r="BA313" i="1"/>
  <c r="BA57" i="9" s="1"/>
  <c r="BC627" i="1"/>
  <c r="BB630" i="1"/>
  <c r="BB558" i="1"/>
  <c r="BB208" i="1"/>
  <c r="BB245" i="1"/>
  <c r="AY659" i="1"/>
  <c r="AY674" i="1" s="1"/>
  <c r="AY453" i="1"/>
  <c r="AY613" i="1"/>
  <c r="AY101" i="9" l="1"/>
  <c r="AY102" i="9" s="1"/>
  <c r="AY707" i="1"/>
  <c r="BB644" i="1"/>
  <c r="AX87" i="9"/>
  <c r="AX104" i="9"/>
  <c r="AX105" i="9" s="1"/>
  <c r="AX106" i="9" s="1"/>
  <c r="AX107" i="9" s="1"/>
  <c r="AX474" i="1"/>
  <c r="AX88" i="9"/>
  <c r="AX89" i="9"/>
  <c r="BA395" i="1"/>
  <c r="BA329" i="1"/>
  <c r="BA63" i="9" s="1"/>
  <c r="BB247" i="1"/>
  <c r="BC241" i="1"/>
  <c r="BC628" i="1"/>
  <c r="AZ462" i="1"/>
  <c r="AY458" i="1"/>
  <c r="AY712" i="1"/>
  <c r="AY7" i="9"/>
  <c r="AY11" i="9" s="1"/>
  <c r="BB210" i="1"/>
  <c r="BB214" i="1" s="1"/>
  <c r="AX112" i="9"/>
  <c r="AX113" i="9" s="1"/>
  <c r="AX103" i="9"/>
  <c r="BB636" i="1"/>
  <c r="BC633" i="1"/>
  <c r="BA324" i="1"/>
  <c r="BA62" i="9" s="1"/>
  <c r="BA52" i="9"/>
  <c r="BA132" i="9" s="1"/>
  <c r="AY124" i="9" l="1"/>
  <c r="AY127" i="9"/>
  <c r="BC392" i="1"/>
  <c r="BD628" i="1"/>
  <c r="BC669" i="1"/>
  <c r="BC641" i="1"/>
  <c r="BD641" i="1" s="1"/>
  <c r="BC634" i="1"/>
  <c r="AY89" i="9"/>
  <c r="AY474" i="1"/>
  <c r="AY104" i="9"/>
  <c r="AY105" i="9" s="1"/>
  <c r="AY106" i="9" s="1"/>
  <c r="AY107" i="9" s="1"/>
  <c r="AY87" i="9"/>
  <c r="AY88" i="9"/>
  <c r="AY468" i="1"/>
  <c r="AY469" i="1"/>
  <c r="BA51" i="9"/>
  <c r="BA330" i="1"/>
  <c r="BB383" i="1"/>
  <c r="BB235" i="1"/>
  <c r="BB216" i="1"/>
  <c r="BB218" i="1" s="1"/>
  <c r="BB215" i="1"/>
  <c r="AZ399" i="1"/>
  <c r="AZ464" i="1"/>
  <c r="AY112" i="9"/>
  <c r="AY113" i="9" s="1"/>
  <c r="AY103" i="9"/>
  <c r="BC243" i="1" l="1"/>
  <c r="BD634" i="1"/>
  <c r="BC668" i="1"/>
  <c r="AZ465" i="1"/>
  <c r="AZ467" i="1"/>
  <c r="BC642" i="1"/>
  <c r="BD642" i="1" s="1"/>
  <c r="BC560" i="1"/>
  <c r="BD560" i="1" s="1"/>
  <c r="BC327" i="1"/>
  <c r="BD392" i="1"/>
  <c r="BB236" i="1"/>
  <c r="BB237" i="1"/>
  <c r="BB238" i="1" s="1"/>
  <c r="AY477" i="1"/>
  <c r="AY480" i="1"/>
  <c r="AZ40" i="9"/>
  <c r="AZ42" i="9" s="1"/>
  <c r="AZ402" i="1"/>
  <c r="BB388" i="1"/>
  <c r="BB314" i="1"/>
  <c r="BB382" i="1"/>
  <c r="BA130" i="9"/>
  <c r="BA64" i="9"/>
  <c r="BA117" i="9"/>
  <c r="BA90" i="9"/>
  <c r="BD669" i="1"/>
  <c r="BC631" i="1"/>
  <c r="BC630" i="1" s="1"/>
  <c r="BB108" i="9" l="1"/>
  <c r="BB109" i="9" s="1"/>
  <c r="BB394" i="1"/>
  <c r="BB389" i="1"/>
  <c r="BB323" i="1"/>
  <c r="BB61" i="9" s="1"/>
  <c r="BD631" i="1"/>
  <c r="AZ404" i="1"/>
  <c r="AZ405" i="1"/>
  <c r="BD327" i="1"/>
  <c r="BD668" i="1"/>
  <c r="BC637" i="1"/>
  <c r="BC636" i="1" s="1"/>
  <c r="BB35" i="9"/>
  <c r="BB39" i="9" s="1"/>
  <c r="BB131" i="9" s="1"/>
  <c r="BB313" i="1"/>
  <c r="BB57" i="9" s="1"/>
  <c r="BC558" i="1"/>
  <c r="BC208" i="1"/>
  <c r="BD243" i="1"/>
  <c r="BD245" i="1" s="1"/>
  <c r="BC245" i="1"/>
  <c r="BC247" i="1" s="1"/>
  <c r="AZ406" i="1" l="1"/>
  <c r="AZ555" i="1" s="1"/>
  <c r="BD558" i="1"/>
  <c r="BD644" i="1" s="1"/>
  <c r="BC644" i="1"/>
  <c r="BE627" i="1"/>
  <c r="BD630" i="1"/>
  <c r="BB52" i="9"/>
  <c r="BB132" i="9" s="1"/>
  <c r="BB324" i="1"/>
  <c r="BB62" i="9" s="1"/>
  <c r="BD247" i="1"/>
  <c r="BE241" i="1"/>
  <c r="BD637" i="1"/>
  <c r="AZ566" i="1"/>
  <c r="BB395" i="1"/>
  <c r="BB329" i="1"/>
  <c r="BB63" i="9" s="1"/>
  <c r="BC210" i="1"/>
  <c r="BC214" i="1" s="1"/>
  <c r="BD208" i="1"/>
  <c r="BD210" i="1" s="1"/>
  <c r="BD214" i="1" s="1"/>
  <c r="AZ43" i="9"/>
  <c r="AZ47" i="9" s="1"/>
  <c r="AZ410" i="1" l="1"/>
  <c r="AZ99" i="9"/>
  <c r="AZ100" i="9" s="1"/>
  <c r="AZ48" i="9"/>
  <c r="BE633" i="1"/>
  <c r="BD636" i="1"/>
  <c r="BD215" i="1"/>
  <c r="BD216" i="1"/>
  <c r="BD218" i="1" s="1"/>
  <c r="BB51" i="9"/>
  <c r="BB330" i="1"/>
  <c r="BC216" i="1"/>
  <c r="BC218" i="1" s="1"/>
  <c r="BC235" i="1"/>
  <c r="BC383" i="1"/>
  <c r="BC215" i="1"/>
  <c r="AZ134" i="9"/>
  <c r="AZ420" i="1"/>
  <c r="AZ412" i="1"/>
  <c r="AZ670" i="1"/>
  <c r="AZ673" i="1" s="1"/>
  <c r="BE641" i="1"/>
  <c r="BE628" i="1"/>
  <c r="AZ568" i="1"/>
  <c r="AZ702" i="1"/>
  <c r="BC237" i="1" l="1"/>
  <c r="BC238" i="1" s="1"/>
  <c r="BC236" i="1"/>
  <c r="BD235" i="1"/>
  <c r="AZ575" i="1"/>
  <c r="AZ430" i="1"/>
  <c r="BB117" i="9"/>
  <c r="BB130" i="9"/>
  <c r="BB64" i="9"/>
  <c r="BB90" i="9"/>
  <c r="BE634" i="1"/>
  <c r="BE392" i="1"/>
  <c r="BE669" i="1"/>
  <c r="AZ415" i="1"/>
  <c r="AZ421" i="1"/>
  <c r="AZ703" i="1"/>
  <c r="BC314" i="1"/>
  <c r="BC388" i="1"/>
  <c r="BC382" i="1"/>
  <c r="BC394" i="1" l="1"/>
  <c r="BC389" i="1"/>
  <c r="BC323" i="1"/>
  <c r="BC61" i="9" s="1"/>
  <c r="BC108" i="9"/>
  <c r="BC109" i="9" s="1"/>
  <c r="BE243" i="1"/>
  <c r="BE668" i="1"/>
  <c r="AZ608" i="1"/>
  <c r="BD237" i="1"/>
  <c r="BD238" i="1" s="1"/>
  <c r="BD236" i="1"/>
  <c r="AZ53" i="9"/>
  <c r="AZ422" i="1"/>
  <c r="AZ54" i="9" s="1"/>
  <c r="AZ84" i="9" s="1"/>
  <c r="BE642" i="1"/>
  <c r="AZ96" i="9"/>
  <c r="AZ97" i="9" s="1"/>
  <c r="AZ705" i="1"/>
  <c r="BE631" i="1"/>
  <c r="BC35" i="9"/>
  <c r="BC39" i="9" s="1"/>
  <c r="BC131" i="9" s="1"/>
  <c r="BC313" i="1"/>
  <c r="BC57" i="9" s="1"/>
  <c r="BD382" i="1"/>
  <c r="BE560" i="1"/>
  <c r="BE327" i="1"/>
  <c r="AZ67" i="9"/>
  <c r="AZ431" i="1"/>
  <c r="AZ447" i="1"/>
  <c r="AZ448" i="1" s="1"/>
  <c r="AZ449" i="1" s="1"/>
  <c r="AZ450" i="1" s="1"/>
  <c r="AZ133" i="9" l="1"/>
  <c r="AZ94" i="9"/>
  <c r="AZ95" i="9" s="1"/>
  <c r="AZ98" i="9" s="1"/>
  <c r="AZ118" i="9"/>
  <c r="AZ611" i="1"/>
  <c r="AZ650" i="1"/>
  <c r="BF627" i="1"/>
  <c r="BE630" i="1"/>
  <c r="BE637" i="1"/>
  <c r="AZ80" i="9"/>
  <c r="AZ69" i="9"/>
  <c r="AZ119" i="9"/>
  <c r="AZ91" i="9"/>
  <c r="BD35" i="9"/>
  <c r="BD39" i="9" s="1"/>
  <c r="BD131" i="9" s="1"/>
  <c r="BD313" i="1"/>
  <c r="BD383" i="1"/>
  <c r="BD388" i="1" s="1"/>
  <c r="BE558" i="1"/>
  <c r="BE644" i="1" s="1"/>
  <c r="BE208" i="1"/>
  <c r="BE210" i="1" s="1"/>
  <c r="BE214" i="1" s="1"/>
  <c r="BE245" i="1"/>
  <c r="BC52" i="9"/>
  <c r="BC132" i="9" s="1"/>
  <c r="BC324" i="1"/>
  <c r="BC62" i="9" s="1"/>
  <c r="BC395" i="1"/>
  <c r="BC329" i="1"/>
  <c r="BC63" i="9" s="1"/>
  <c r="BD389" i="1" l="1"/>
  <c r="BD323" i="1"/>
  <c r="BD61" i="9" s="1"/>
  <c r="BD108" i="9"/>
  <c r="BD109" i="9" s="1"/>
  <c r="BD394" i="1"/>
  <c r="BD329" i="1" s="1"/>
  <c r="BD63" i="9" s="1"/>
  <c r="AZ613" i="1"/>
  <c r="BA610" i="1"/>
  <c r="BE247" i="1"/>
  <c r="BF241" i="1"/>
  <c r="BD57" i="9"/>
  <c r="BD314" i="1"/>
  <c r="AZ120" i="9"/>
  <c r="AZ81" i="9"/>
  <c r="AZ83" i="9" s="1"/>
  <c r="AZ71" i="9"/>
  <c r="AZ78" i="9" s="1"/>
  <c r="AZ135" i="9" s="1"/>
  <c r="BF628" i="1"/>
  <c r="BC330" i="1"/>
  <c r="BC51" i="9"/>
  <c r="BD395" i="1"/>
  <c r="BE216" i="1"/>
  <c r="BE218" i="1" s="1"/>
  <c r="BE235" i="1"/>
  <c r="BE215" i="1"/>
  <c r="BE383" i="1"/>
  <c r="BF633" i="1"/>
  <c r="BE636" i="1"/>
  <c r="AZ453" i="1"/>
  <c r="AZ659" i="1"/>
  <c r="AZ674" i="1" s="1"/>
  <c r="AZ101" i="9" l="1"/>
  <c r="AZ102" i="9" s="1"/>
  <c r="AZ707" i="1"/>
  <c r="BE388" i="1"/>
  <c r="BE314" i="1"/>
  <c r="BE382" i="1"/>
  <c r="BD51" i="9"/>
  <c r="BD330" i="1"/>
  <c r="BF392" i="1"/>
  <c r="BF669" i="1"/>
  <c r="AZ458" i="1"/>
  <c r="BA462" i="1"/>
  <c r="AZ7" i="9"/>
  <c r="AZ11" i="9" s="1"/>
  <c r="AZ712" i="1"/>
  <c r="BF641" i="1"/>
  <c r="BE236" i="1"/>
  <c r="BE237" i="1"/>
  <c r="BE238" i="1" s="1"/>
  <c r="BC130" i="9"/>
  <c r="BC90" i="9"/>
  <c r="BC64" i="9"/>
  <c r="BC117" i="9"/>
  <c r="BF642" i="1"/>
  <c r="BF634" i="1"/>
  <c r="BD52" i="9"/>
  <c r="BD132" i="9" s="1"/>
  <c r="BD324" i="1"/>
  <c r="BD62" i="9" s="1"/>
  <c r="BF243" i="1" l="1"/>
  <c r="BF668" i="1"/>
  <c r="BA399" i="1"/>
  <c r="BA464" i="1"/>
  <c r="AZ104" i="9"/>
  <c r="AZ105" i="9" s="1"/>
  <c r="AZ106" i="9" s="1"/>
  <c r="AZ107" i="9" s="1"/>
  <c r="AZ87" i="9"/>
  <c r="AZ88" i="9"/>
  <c r="AZ89" i="9"/>
  <c r="AZ474" i="1"/>
  <c r="BE108" i="9"/>
  <c r="BE109" i="9" s="1"/>
  <c r="BE394" i="1"/>
  <c r="BE389" i="1"/>
  <c r="BE323" i="1"/>
  <c r="BE61" i="9" s="1"/>
  <c r="BF631" i="1"/>
  <c r="BD90" i="9"/>
  <c r="BD130" i="9"/>
  <c r="BD64" i="9"/>
  <c r="BD117" i="9"/>
  <c r="BF560" i="1"/>
  <c r="BF327" i="1"/>
  <c r="BE313" i="1"/>
  <c r="BE57" i="9" s="1"/>
  <c r="BE35" i="9"/>
  <c r="BE39" i="9" s="1"/>
  <c r="BE131" i="9" s="1"/>
  <c r="AZ103" i="9"/>
  <c r="AZ112" i="9"/>
  <c r="AZ113" i="9" s="1"/>
  <c r="BE329" i="1" l="1"/>
  <c r="BE63" i="9" s="1"/>
  <c r="BE395" i="1"/>
  <c r="BA465" i="1"/>
  <c r="BA467" i="1"/>
  <c r="BA40" i="9"/>
  <c r="BA42" i="9" s="1"/>
  <c r="BA402" i="1"/>
  <c r="BF637" i="1"/>
  <c r="BG627" i="1"/>
  <c r="BF630" i="1"/>
  <c r="BE52" i="9"/>
  <c r="BE132" i="9" s="1"/>
  <c r="BE324" i="1"/>
  <c r="BE62" i="9" s="1"/>
  <c r="BF558" i="1"/>
  <c r="BF644" i="1" s="1"/>
  <c r="BF208" i="1"/>
  <c r="BF210" i="1" s="1"/>
  <c r="BF214" i="1" s="1"/>
  <c r="BF245" i="1"/>
  <c r="BF235" i="1" l="1"/>
  <c r="BF215" i="1"/>
  <c r="BF383" i="1"/>
  <c r="BF216" i="1"/>
  <c r="BF218" i="1" s="1"/>
  <c r="BG628" i="1"/>
  <c r="BA405" i="1"/>
  <c r="BA404" i="1"/>
  <c r="BF636" i="1"/>
  <c r="BG633" i="1"/>
  <c r="BE330" i="1"/>
  <c r="BE51" i="9"/>
  <c r="BF247" i="1"/>
  <c r="BG241" i="1"/>
  <c r="BA43" i="9" l="1"/>
  <c r="BA47" i="9" s="1"/>
  <c r="BG642" i="1"/>
  <c r="BG634" i="1"/>
  <c r="BA566" i="1"/>
  <c r="BF314" i="1"/>
  <c r="BF388" i="1"/>
  <c r="BF382" i="1"/>
  <c r="BG392" i="1"/>
  <c r="BG669" i="1"/>
  <c r="BG631" i="1" s="1"/>
  <c r="BG630" i="1" s="1"/>
  <c r="BE130" i="9"/>
  <c r="BE90" i="9"/>
  <c r="BE64" i="9"/>
  <c r="BE117" i="9"/>
  <c r="BA406" i="1"/>
  <c r="BG641" i="1"/>
  <c r="BF237" i="1"/>
  <c r="BF238" i="1" s="1"/>
  <c r="BF236" i="1"/>
  <c r="BG560" i="1" l="1"/>
  <c r="BG327" i="1"/>
  <c r="BF35" i="9"/>
  <c r="BF39" i="9" s="1"/>
  <c r="BF131" i="9" s="1"/>
  <c r="BF313" i="1"/>
  <c r="BF57" i="9" s="1"/>
  <c r="BA670" i="1"/>
  <c r="BA99" i="9"/>
  <c r="BA100" i="9" s="1"/>
  <c r="BA48" i="9"/>
  <c r="BA555" i="1"/>
  <c r="BA410" i="1"/>
  <c r="BA134" i="9" s="1"/>
  <c r="BF323" i="1"/>
  <c r="BF61" i="9" s="1"/>
  <c r="BF108" i="9"/>
  <c r="BF109" i="9" s="1"/>
  <c r="BF394" i="1"/>
  <c r="BF389" i="1"/>
  <c r="BG243" i="1"/>
  <c r="BG668" i="1"/>
  <c r="BG637" i="1" s="1"/>
  <c r="BG636" i="1" s="1"/>
  <c r="BF395" i="1" l="1"/>
  <c r="BF329" i="1"/>
  <c r="BF63" i="9" s="1"/>
  <c r="BA568" i="1"/>
  <c r="BA702" i="1"/>
  <c r="BF52" i="9"/>
  <c r="BF132" i="9" s="1"/>
  <c r="BF324" i="1"/>
  <c r="BF62" i="9" s="1"/>
  <c r="BG558" i="1"/>
  <c r="BG644" i="1" s="1"/>
  <c r="BG208" i="1"/>
  <c r="BG210" i="1" s="1"/>
  <c r="BG214" i="1" s="1"/>
  <c r="BG245" i="1"/>
  <c r="BG247" i="1" s="1"/>
  <c r="BA673" i="1"/>
  <c r="BA420" i="1"/>
  <c r="BA412" i="1"/>
  <c r="BA575" i="1" l="1"/>
  <c r="BA430" i="1"/>
  <c r="BA415" i="1"/>
  <c r="BA421" i="1"/>
  <c r="BG383" i="1"/>
  <c r="BG216" i="1"/>
  <c r="BG218" i="1" s="1"/>
  <c r="BG215" i="1"/>
  <c r="BG235" i="1"/>
  <c r="BA703" i="1"/>
  <c r="BF51" i="9"/>
  <c r="BF330" i="1"/>
  <c r="BF64" i="9" l="1"/>
  <c r="BF117" i="9"/>
  <c r="BF130" i="9"/>
  <c r="BF90" i="9"/>
  <c r="BA422" i="1"/>
  <c r="BA54" i="9" s="1"/>
  <c r="BA84" i="9" s="1"/>
  <c r="BA53" i="9"/>
  <c r="BA705" i="1"/>
  <c r="BA96" i="9"/>
  <c r="BA97" i="9" s="1"/>
  <c r="BG314" i="1"/>
  <c r="BG388" i="1"/>
  <c r="BG382" i="1"/>
  <c r="BA67" i="9"/>
  <c r="BA431" i="1"/>
  <c r="BA447" i="1"/>
  <c r="BA448" i="1" s="1"/>
  <c r="BA449" i="1" s="1"/>
  <c r="BA450" i="1" s="1"/>
  <c r="BG237" i="1"/>
  <c r="BG238" i="1" s="1"/>
  <c r="BG236" i="1"/>
  <c r="BA608" i="1"/>
  <c r="BG35" i="9" l="1"/>
  <c r="BG39" i="9" s="1"/>
  <c r="BG131" i="9" s="1"/>
  <c r="BG313" i="1"/>
  <c r="BG57" i="9" s="1"/>
  <c r="BG108" i="9"/>
  <c r="BG109" i="9" s="1"/>
  <c r="BG394" i="1"/>
  <c r="BG389" i="1"/>
  <c r="A389" i="1" s="1"/>
  <c r="BG323" i="1"/>
  <c r="BG61" i="9" s="1"/>
  <c r="BA650" i="1"/>
  <c r="BA611" i="1"/>
  <c r="BA94" i="9"/>
  <c r="BA95" i="9" s="1"/>
  <c r="BA98" i="9" s="1"/>
  <c r="BA118" i="9"/>
  <c r="BA133" i="9"/>
  <c r="BA119" i="9"/>
  <c r="BA69" i="9"/>
  <c r="BA91" i="9"/>
  <c r="BA80" i="9"/>
  <c r="A747" i="1" l="1"/>
  <c r="A324" i="1"/>
  <c r="A62" i="9" s="1"/>
  <c r="A52" i="9"/>
  <c r="BG395" i="1"/>
  <c r="BG329" i="1"/>
  <c r="BG63" i="9" s="1"/>
  <c r="A395" i="1"/>
  <c r="BA120" i="9"/>
  <c r="BA71" i="9"/>
  <c r="BA78" i="9" s="1"/>
  <c r="BA135" i="9" s="1"/>
  <c r="BA81" i="9"/>
  <c r="BA83" i="9" s="1"/>
  <c r="BB610" i="1"/>
  <c r="BA613" i="1"/>
  <c r="BA453" i="1"/>
  <c r="BA659" i="1"/>
  <c r="BA674" i="1" s="1"/>
  <c r="BG52" i="9"/>
  <c r="BG132" i="9" s="1"/>
  <c r="BG324" i="1"/>
  <c r="BG62" i="9" s="1"/>
  <c r="BA458" i="1" l="1"/>
  <c r="BB462" i="1"/>
  <c r="BA712" i="1"/>
  <c r="BA7" i="9"/>
  <c r="BA11" i="9" s="1"/>
  <c r="BG51" i="9"/>
  <c r="BG330" i="1"/>
  <c r="A330" i="1"/>
  <c r="A64" i="9" s="1"/>
  <c r="A51" i="9"/>
  <c r="A746" i="1"/>
  <c r="A396" i="1"/>
  <c r="BA707" i="1"/>
  <c r="BA101" i="9"/>
  <c r="BA102" i="9" s="1"/>
  <c r="A758" i="1" l="1"/>
  <c r="AZ396" i="1"/>
  <c r="AZ331" i="1" s="1"/>
  <c r="BF396" i="1"/>
  <c r="BF331" i="1" s="1"/>
  <c r="BC396" i="1"/>
  <c r="BC331" i="1" s="1"/>
  <c r="BG396" i="1"/>
  <c r="BG331" i="1" s="1"/>
  <c r="BD396" i="1"/>
  <c r="BD331" i="1" s="1"/>
  <c r="BE396" i="1"/>
  <c r="BE331" i="1" s="1"/>
  <c r="BB396" i="1"/>
  <c r="BB331" i="1" s="1"/>
  <c r="AY396" i="1"/>
  <c r="AY331" i="1" s="1"/>
  <c r="AX396" i="1"/>
  <c r="AX331" i="1" s="1"/>
  <c r="BA112" i="9"/>
  <c r="BA113" i="9" s="1"/>
  <c r="BA103" i="9"/>
  <c r="BB399" i="1"/>
  <c r="BB464" i="1"/>
  <c r="BG130" i="9"/>
  <c r="BG90" i="9"/>
  <c r="BG64" i="9"/>
  <c r="BG117" i="9"/>
  <c r="BA104" i="9"/>
  <c r="BA105" i="9" s="1"/>
  <c r="BA106" i="9" s="1"/>
  <c r="BA107" i="9" s="1"/>
  <c r="BA89" i="9"/>
  <c r="BA88" i="9"/>
  <c r="BA87" i="9"/>
  <c r="BA474" i="1"/>
  <c r="BB465" i="1" l="1"/>
  <c r="BB467" i="1"/>
  <c r="BB40" i="9"/>
  <c r="BB42" i="9" s="1"/>
  <c r="BB402" i="1"/>
  <c r="BA396" i="1"/>
  <c r="BA331" i="1" s="1"/>
  <c r="BA434" i="1"/>
  <c r="BG432" i="1"/>
  <c r="AZ390" i="1"/>
  <c r="AZ325" i="1" s="1"/>
  <c r="AZ423" i="1"/>
  <c r="BB434" i="1"/>
  <c r="BA390" i="1"/>
  <c r="BA325" i="1" s="1"/>
  <c r="BA432" i="1"/>
  <c r="AY432" i="1"/>
  <c r="BE390" i="1"/>
  <c r="BE325" i="1" s="1"/>
  <c r="BB390" i="1"/>
  <c r="BB325" i="1" s="1"/>
  <c r="AZ434" i="1"/>
  <c r="AX434" i="1"/>
  <c r="AZ432" i="1"/>
  <c r="BD432" i="1"/>
  <c r="BC423" i="1"/>
  <c r="BG390" i="1"/>
  <c r="BG325" i="1" s="1"/>
  <c r="BB432" i="1"/>
  <c r="BB423" i="1"/>
  <c r="BE423" i="1"/>
  <c r="AX432" i="1"/>
  <c r="BG434" i="1"/>
  <c r="AY434" i="1"/>
  <c r="AY423" i="1"/>
  <c r="AX390" i="1"/>
  <c r="AX325" i="1" s="1"/>
  <c r="BA423" i="1"/>
  <c r="AX423" i="1"/>
  <c r="AY390" i="1"/>
  <c r="AY325" i="1" s="1"/>
  <c r="BF434" i="1"/>
  <c r="BF432" i="1"/>
  <c r="BF423" i="1"/>
  <c r="BD423" i="1"/>
  <c r="BC432" i="1"/>
  <c r="BC390" i="1"/>
  <c r="BC325" i="1" s="1"/>
  <c r="BD390" i="1"/>
  <c r="BD325" i="1" s="1"/>
  <c r="BD434" i="1"/>
  <c r="BG423" i="1"/>
  <c r="BE432" i="1"/>
  <c r="BE434" i="1"/>
  <c r="BC434" i="1"/>
  <c r="BF390" i="1"/>
  <c r="BF325" i="1" s="1"/>
  <c r="BB405" i="1" l="1"/>
  <c r="BB404" i="1"/>
  <c r="BB406" i="1" l="1"/>
  <c r="BB43" i="9"/>
  <c r="BB47" i="9" s="1"/>
  <c r="BB566" i="1"/>
  <c r="BB670" i="1" l="1"/>
  <c r="BB99" i="9"/>
  <c r="BB100" i="9" s="1"/>
  <c r="BB48" i="9"/>
  <c r="BB555" i="1"/>
  <c r="BB410" i="1"/>
  <c r="BB420" i="1" l="1"/>
  <c r="BB412" i="1"/>
  <c r="BB134" i="9"/>
  <c r="BB568" i="1"/>
  <c r="BB702" i="1"/>
  <c r="BB673" i="1"/>
  <c r="BB575" i="1" l="1"/>
  <c r="BB430" i="1"/>
  <c r="BB703" i="1"/>
  <c r="BB415" i="1"/>
  <c r="BB421" i="1"/>
  <c r="BB96" i="9" l="1"/>
  <c r="BB97" i="9" s="1"/>
  <c r="BB705" i="1"/>
  <c r="BB53" i="9"/>
  <c r="BB422" i="1"/>
  <c r="BB54" i="9" s="1"/>
  <c r="BB84" i="9" s="1"/>
  <c r="BB67" i="9"/>
  <c r="BB447" i="1"/>
  <c r="BB448" i="1" s="1"/>
  <c r="BB449" i="1" s="1"/>
  <c r="BB450" i="1" s="1"/>
  <c r="BB431" i="1"/>
  <c r="BB608" i="1"/>
  <c r="BB118" i="9" l="1"/>
  <c r="BB94" i="9"/>
  <c r="BB95" i="9" s="1"/>
  <c r="BB98" i="9" s="1"/>
  <c r="BB133" i="9"/>
  <c r="BB91" i="9"/>
  <c r="BB69" i="9"/>
  <c r="BB80" i="9"/>
  <c r="BB119" i="9"/>
  <c r="BB650" i="1"/>
  <c r="BB611" i="1"/>
  <c r="BC610" i="1" l="1"/>
  <c r="BB613" i="1"/>
  <c r="BB71" i="9"/>
  <c r="BB78" i="9" s="1"/>
  <c r="BB135" i="9" s="1"/>
  <c r="BB120" i="9"/>
  <c r="BB81" i="9"/>
  <c r="BB83" i="9" s="1"/>
  <c r="BB453" i="1"/>
  <c r="BB659" i="1"/>
  <c r="BB674" i="1" s="1"/>
  <c r="BB101" i="9" l="1"/>
  <c r="BB102" i="9" s="1"/>
  <c r="BB707" i="1"/>
  <c r="BC462" i="1"/>
  <c r="BB712" i="1"/>
  <c r="BB458" i="1"/>
  <c r="BB7" i="9"/>
  <c r="BB11" i="9" s="1"/>
  <c r="BC399" i="1" l="1"/>
  <c r="BC464" i="1"/>
  <c r="BD462" i="1"/>
  <c r="BB88" i="9"/>
  <c r="BB104" i="9"/>
  <c r="BB105" i="9" s="1"/>
  <c r="BB106" i="9" s="1"/>
  <c r="BB107" i="9" s="1"/>
  <c r="BB474" i="1"/>
  <c r="BB89" i="9"/>
  <c r="BB87" i="9"/>
  <c r="BB112" i="9"/>
  <c r="BB113" i="9" s="1"/>
  <c r="BB103" i="9"/>
  <c r="BC465" i="1" l="1"/>
  <c r="BC467" i="1"/>
  <c r="BD464" i="1"/>
  <c r="BC40" i="9"/>
  <c r="BC42" i="9" s="1"/>
  <c r="BC402" i="1"/>
  <c r="BD399" i="1"/>
  <c r="BD465" i="1" l="1"/>
  <c r="BD467" i="1"/>
  <c r="BD40" i="9"/>
  <c r="BD42" i="9" s="1"/>
  <c r="BD402" i="1"/>
  <c r="BC405" i="1"/>
  <c r="BC404" i="1"/>
  <c r="BC406" i="1" l="1"/>
  <c r="BC555" i="1" s="1"/>
  <c r="BC43" i="9"/>
  <c r="BC47" i="9" s="1"/>
  <c r="BD404" i="1"/>
  <c r="BC566" i="1"/>
  <c r="BD405" i="1"/>
  <c r="BD418" i="1" s="1"/>
  <c r="BC410" i="1" l="1"/>
  <c r="BC99" i="9"/>
  <c r="BC100" i="9" s="1"/>
  <c r="BC48" i="9"/>
  <c r="BC134" i="9"/>
  <c r="BC420" i="1"/>
  <c r="BC412" i="1"/>
  <c r="BD566" i="1"/>
  <c r="BC670" i="1"/>
  <c r="BC568" i="1"/>
  <c r="BD555" i="1"/>
  <c r="BD568" i="1" s="1"/>
  <c r="BC702" i="1"/>
  <c r="BD417" i="1"/>
  <c r="BD43" i="9"/>
  <c r="BD47" i="9" s="1"/>
  <c r="BD406" i="1"/>
  <c r="BD48" i="9" l="1"/>
  <c r="BD99" i="9"/>
  <c r="BD100" i="9" s="1"/>
  <c r="BC430" i="1"/>
  <c r="BC575" i="1"/>
  <c r="BD725" i="1"/>
  <c r="BD670" i="1"/>
  <c r="BD673" i="1" s="1"/>
  <c r="BC673" i="1"/>
  <c r="BC703" i="1"/>
  <c r="BD702" i="1"/>
  <c r="BD410" i="1"/>
  <c r="BD723" i="1"/>
  <c r="BD430" i="1"/>
  <c r="BD575" i="1"/>
  <c r="BD608" i="1" s="1"/>
  <c r="BD611" i="1" s="1"/>
  <c r="BC415" i="1"/>
  <c r="BC421" i="1"/>
  <c r="BE610" i="1" l="1"/>
  <c r="BD703" i="1"/>
  <c r="BC67" i="9"/>
  <c r="BC431" i="1"/>
  <c r="BC447" i="1"/>
  <c r="BC448" i="1" s="1"/>
  <c r="BC449" i="1" s="1"/>
  <c r="BC450" i="1" s="1"/>
  <c r="BC53" i="9"/>
  <c r="BC422" i="1"/>
  <c r="BC54" i="9" s="1"/>
  <c r="BC84" i="9" s="1"/>
  <c r="BD412" i="1"/>
  <c r="BD420" i="1"/>
  <c r="BD134" i="9"/>
  <c r="BD431" i="1"/>
  <c r="BD478" i="1" s="1"/>
  <c r="BD67" i="9"/>
  <c r="BD447" i="1"/>
  <c r="BC705" i="1"/>
  <c r="BC96" i="9"/>
  <c r="BC97" i="9" s="1"/>
  <c r="BC608" i="1"/>
  <c r="BD726" i="1"/>
  <c r="BD479" i="1" l="1"/>
  <c r="BD448" i="1"/>
  <c r="BD449" i="1" s="1"/>
  <c r="BD450" i="1" s="1"/>
  <c r="BC133" i="9"/>
  <c r="BC94" i="9"/>
  <c r="BC95" i="9" s="1"/>
  <c r="BC98" i="9" s="1"/>
  <c r="BC118" i="9"/>
  <c r="BC650" i="1"/>
  <c r="BC611" i="1"/>
  <c r="BC613" i="1" s="1"/>
  <c r="BD69" i="9"/>
  <c r="BD80" i="9"/>
  <c r="BD125" i="9" s="1"/>
  <c r="BD91" i="9"/>
  <c r="BD119" i="9"/>
  <c r="BD421" i="1"/>
  <c r="BD415" i="1"/>
  <c r="BD96" i="9"/>
  <c r="BD97" i="9" s="1"/>
  <c r="BD705" i="1"/>
  <c r="BC69" i="9"/>
  <c r="BC91" i="9"/>
  <c r="BC80" i="9"/>
  <c r="BC119" i="9"/>
  <c r="BD650" i="1" l="1"/>
  <c r="BC659" i="1"/>
  <c r="BC674" i="1" s="1"/>
  <c r="BC453" i="1"/>
  <c r="BD422" i="1"/>
  <c r="BD53" i="9"/>
  <c r="BD724" i="1"/>
  <c r="BC71" i="9"/>
  <c r="BC78" i="9" s="1"/>
  <c r="BC135" i="9" s="1"/>
  <c r="BC81" i="9"/>
  <c r="BC83" i="9" s="1"/>
  <c r="BC120" i="9"/>
  <c r="BD81" i="9"/>
  <c r="BD83" i="9" s="1"/>
  <c r="BD71" i="9"/>
  <c r="BD78" i="9" s="1"/>
  <c r="BD135" i="9" s="1"/>
  <c r="BD126" i="9"/>
  <c r="BD120" i="9"/>
  <c r="BD476" i="1" l="1"/>
  <c r="BD54" i="9"/>
  <c r="BC712" i="1"/>
  <c r="BC458" i="1"/>
  <c r="BC7" i="9"/>
  <c r="BC11" i="9" s="1"/>
  <c r="BD463" i="1"/>
  <c r="BC101" i="9"/>
  <c r="BC102" i="9" s="1"/>
  <c r="BC707" i="1"/>
  <c r="BD94" i="9"/>
  <c r="BD95" i="9" s="1"/>
  <c r="BD98" i="9" s="1"/>
  <c r="BD118" i="9"/>
  <c r="BD133" i="9"/>
  <c r="BD453" i="1"/>
  <c r="BD659" i="1"/>
  <c r="BD674" i="1" s="1"/>
  <c r="BD613" i="1"/>
  <c r="BD7" i="9" l="1"/>
  <c r="BD11" i="9" s="1"/>
  <c r="BD712" i="1"/>
  <c r="BE462" i="1"/>
  <c r="BD458" i="1"/>
  <c r="BC88" i="9"/>
  <c r="BC89" i="9"/>
  <c r="BC474" i="1"/>
  <c r="BC104" i="9"/>
  <c r="BC105" i="9" s="1"/>
  <c r="BC106" i="9" s="1"/>
  <c r="BC107" i="9" s="1"/>
  <c r="BC87" i="9"/>
  <c r="BC103" i="9"/>
  <c r="BC112" i="9"/>
  <c r="BC113" i="9" s="1"/>
  <c r="BD123" i="9"/>
  <c r="BD84" i="9"/>
  <c r="BD101" i="9"/>
  <c r="BD102" i="9" s="1"/>
  <c r="BD707" i="1"/>
  <c r="BD87" i="9" l="1"/>
  <c r="BD89" i="9"/>
  <c r="BD474" i="1"/>
  <c r="BD468" i="1"/>
  <c r="BD104" i="9"/>
  <c r="BD105" i="9" s="1"/>
  <c r="BD106" i="9" s="1"/>
  <c r="BD107" i="9" s="1"/>
  <c r="BD88" i="9"/>
  <c r="BD469" i="1"/>
  <c r="BE399" i="1"/>
  <c r="BE464" i="1"/>
  <c r="BD103" i="9"/>
  <c r="BD112" i="9"/>
  <c r="BD113" i="9" s="1"/>
  <c r="BD124" i="9"/>
  <c r="BD127" i="9"/>
  <c r="BE40" i="9" l="1"/>
  <c r="BE42" i="9" s="1"/>
  <c r="BE402" i="1"/>
  <c r="BD477" i="1"/>
  <c r="BD480" i="1"/>
  <c r="BE465" i="1"/>
  <c r="BE467" i="1"/>
  <c r="BE405" i="1" l="1"/>
  <c r="BE566" i="1" s="1"/>
  <c r="BE670" i="1" s="1"/>
  <c r="BE673" i="1" s="1"/>
  <c r="BE404" i="1"/>
  <c r="BE406" i="1" l="1"/>
  <c r="BE555" i="1" s="1"/>
  <c r="BE43" i="9"/>
  <c r="BE47" i="9" s="1"/>
  <c r="BE99" i="9" s="1"/>
  <c r="BE100" i="9" s="1"/>
  <c r="BE48" i="9" l="1"/>
  <c r="BE410" i="1"/>
  <c r="BE134" i="9" s="1"/>
  <c r="BE568" i="1"/>
  <c r="BE702" i="1"/>
  <c r="BE412" i="1" l="1"/>
  <c r="BE415" i="1" s="1"/>
  <c r="BE420" i="1"/>
  <c r="BE703" i="1"/>
  <c r="BE430" i="1"/>
  <c r="BE575" i="1"/>
  <c r="BE608" i="1" s="1"/>
  <c r="BE421" i="1" l="1"/>
  <c r="BE611" i="1"/>
  <c r="BE650" i="1"/>
  <c r="BE431" i="1"/>
  <c r="BE478" i="1" s="1"/>
  <c r="BE447" i="1"/>
  <c r="BE67" i="9"/>
  <c r="BE422" i="1"/>
  <c r="BE53" i="9"/>
  <c r="BE96" i="9"/>
  <c r="BE97" i="9" s="1"/>
  <c r="BE705" i="1"/>
  <c r="BE479" i="1" l="1"/>
  <c r="BE448" i="1"/>
  <c r="BE449" i="1" s="1"/>
  <c r="BE450" i="1" s="1"/>
  <c r="BE94" i="9"/>
  <c r="BE95" i="9" s="1"/>
  <c r="BE98" i="9" s="1"/>
  <c r="BE133" i="9"/>
  <c r="BE118" i="9"/>
  <c r="BE476" i="1"/>
  <c r="BE54" i="9"/>
  <c r="BE453" i="1"/>
  <c r="BE659" i="1"/>
  <c r="BE674" i="1" s="1"/>
  <c r="BE119" i="9"/>
  <c r="BE91" i="9"/>
  <c r="BE80" i="9"/>
  <c r="BE125" i="9" s="1"/>
  <c r="BE69" i="9"/>
  <c r="BF610" i="1"/>
  <c r="BE613" i="1"/>
  <c r="BE123" i="9" l="1"/>
  <c r="BE84" i="9"/>
  <c r="BE120" i="9"/>
  <c r="BE71" i="9"/>
  <c r="BE78" i="9" s="1"/>
  <c r="BE135" i="9" s="1"/>
  <c r="BE81" i="9"/>
  <c r="BE83" i="9" s="1"/>
  <c r="BE126" i="9"/>
  <c r="BE707" i="1"/>
  <c r="BE101" i="9"/>
  <c r="BE102" i="9" s="1"/>
  <c r="BF462" i="1"/>
  <c r="BE7" i="9"/>
  <c r="BE11" i="9" s="1"/>
  <c r="BE124" i="9" s="1"/>
  <c r="BE712" i="1"/>
  <c r="BE458" i="1"/>
  <c r="BE127" i="9" l="1"/>
  <c r="BF464" i="1"/>
  <c r="BF399" i="1"/>
  <c r="BE89" i="9"/>
  <c r="BE104" i="9"/>
  <c r="BE105" i="9" s="1"/>
  <c r="BE106" i="9" s="1"/>
  <c r="BE107" i="9" s="1"/>
  <c r="BE474" i="1"/>
  <c r="BE468" i="1"/>
  <c r="BE87" i="9"/>
  <c r="BE88" i="9"/>
  <c r="BE469" i="1"/>
  <c r="BE112" i="9"/>
  <c r="BE113" i="9" s="1"/>
  <c r="BE103" i="9"/>
  <c r="BF40" i="9" l="1"/>
  <c r="BF42" i="9" s="1"/>
  <c r="BF402" i="1"/>
  <c r="BE477" i="1"/>
  <c r="BE480" i="1"/>
  <c r="BF465" i="1"/>
  <c r="BF467" i="1"/>
  <c r="BF405" i="1" l="1"/>
  <c r="BF566" i="1" s="1"/>
  <c r="BF670" i="1" s="1"/>
  <c r="BF673" i="1" s="1"/>
  <c r="BF404" i="1"/>
  <c r="BF406" i="1" l="1"/>
  <c r="BF43" i="9"/>
  <c r="BF47" i="9" s="1"/>
  <c r="BF48" i="9" s="1"/>
  <c r="BF555" i="1"/>
  <c r="BF410" i="1"/>
  <c r="BF134" i="9"/>
  <c r="BF99" i="9" l="1"/>
  <c r="BF100" i="9" s="1"/>
  <c r="BF412" i="1"/>
  <c r="BF420" i="1"/>
  <c r="BF568" i="1"/>
  <c r="BF702" i="1"/>
  <c r="BF703" i="1" l="1"/>
  <c r="BF430" i="1"/>
  <c r="BF575" i="1"/>
  <c r="BF608" i="1" s="1"/>
  <c r="BF421" i="1"/>
  <c r="BF415" i="1"/>
  <c r="BF650" i="1" l="1"/>
  <c r="BF611" i="1"/>
  <c r="BF431" i="1"/>
  <c r="BF478" i="1" s="1"/>
  <c r="BF67" i="9"/>
  <c r="BF447" i="1"/>
  <c r="BF422" i="1"/>
  <c r="BF53" i="9"/>
  <c r="BF96" i="9"/>
  <c r="BF97" i="9" s="1"/>
  <c r="BF705" i="1"/>
  <c r="BF119" i="9" l="1"/>
  <c r="BF91" i="9"/>
  <c r="BF69" i="9"/>
  <c r="BF80" i="9"/>
  <c r="BF125" i="9" s="1"/>
  <c r="BF118" i="9"/>
  <c r="BF133" i="9"/>
  <c r="BF94" i="9"/>
  <c r="BF95" i="9" s="1"/>
  <c r="BF98" i="9" s="1"/>
  <c r="BF476" i="1"/>
  <c r="BF54" i="9"/>
  <c r="BF613" i="1"/>
  <c r="BG610" i="1"/>
  <c r="BF448" i="1"/>
  <c r="BF449" i="1" s="1"/>
  <c r="BF450" i="1" s="1"/>
  <c r="BF479" i="1"/>
  <c r="BF659" i="1"/>
  <c r="BF674" i="1" s="1"/>
  <c r="BF453" i="1"/>
  <c r="BG462" i="1" l="1"/>
  <c r="BF458" i="1"/>
  <c r="BF7" i="9"/>
  <c r="BF11" i="9" s="1"/>
  <c r="BF124" i="9" s="1"/>
  <c r="BF712" i="1"/>
  <c r="BF101" i="9"/>
  <c r="BF102" i="9" s="1"/>
  <c r="BF707" i="1"/>
  <c r="BF81" i="9"/>
  <c r="BF83" i="9" s="1"/>
  <c r="BF120" i="9"/>
  <c r="BF126" i="9"/>
  <c r="BF71" i="9"/>
  <c r="BF78" i="9" s="1"/>
  <c r="BF135" i="9" s="1"/>
  <c r="BF127" i="9"/>
  <c r="BF123" i="9"/>
  <c r="BF84" i="9"/>
  <c r="BF104" i="9" l="1"/>
  <c r="BF105" i="9" s="1"/>
  <c r="BF106" i="9" s="1"/>
  <c r="BF107" i="9" s="1"/>
  <c r="BF89" i="9"/>
  <c r="BF469" i="1"/>
  <c r="BF474" i="1"/>
  <c r="BF88" i="9"/>
  <c r="BF87" i="9"/>
  <c r="BF468" i="1"/>
  <c r="BF103" i="9"/>
  <c r="BF112" i="9"/>
  <c r="BF113" i="9" s="1"/>
  <c r="BG464" i="1"/>
  <c r="BG399" i="1"/>
  <c r="BF477" i="1" l="1"/>
  <c r="BF480" i="1"/>
  <c r="BG40" i="9"/>
  <c r="BG42" i="9" s="1"/>
  <c r="BG402" i="1"/>
  <c r="BG465" i="1"/>
  <c r="BG467" i="1"/>
  <c r="BG404" i="1" l="1"/>
  <c r="BG43" i="9" s="1"/>
  <c r="BG47" i="9" s="1"/>
  <c r="BG405" i="1"/>
  <c r="BG566" i="1" s="1"/>
  <c r="BG670" i="1" s="1"/>
  <c r="BG673" i="1" s="1"/>
  <c r="BG406" i="1" l="1"/>
  <c r="BG99" i="9"/>
  <c r="BG100" i="9" s="1"/>
  <c r="BG48" i="9"/>
  <c r="BG410" i="1" l="1"/>
  <c r="BG555" i="1"/>
  <c r="BG568" i="1" l="1"/>
  <c r="BG702" i="1"/>
  <c r="BG703" i="1" s="1"/>
  <c r="BG420" i="1"/>
  <c r="BG412" i="1"/>
  <c r="BG134" i="9"/>
  <c r="BG415" i="1" l="1"/>
  <c r="BG421" i="1"/>
  <c r="BG96" i="9"/>
  <c r="BG97" i="9" s="1"/>
  <c r="BG705" i="1"/>
  <c r="BG430" i="1"/>
  <c r="BG575" i="1"/>
  <c r="BG608" i="1" s="1"/>
  <c r="BG650" i="1" l="1"/>
  <c r="BG611" i="1"/>
  <c r="BG447" i="1"/>
  <c r="BG67" i="9"/>
  <c r="BG431" i="1"/>
  <c r="BG478" i="1" s="1"/>
  <c r="BG422" i="1"/>
  <c r="BG53" i="9"/>
  <c r="BG613" i="1" l="1"/>
  <c r="BG119" i="9"/>
  <c r="BG91" i="9"/>
  <c r="BG80" i="9"/>
  <c r="BG125" i="9" s="1"/>
  <c r="BG69" i="9"/>
  <c r="BG118" i="9"/>
  <c r="BG94" i="9"/>
  <c r="BG95" i="9" s="1"/>
  <c r="BG98" i="9" s="1"/>
  <c r="BG133" i="9"/>
  <c r="BG479" i="1"/>
  <c r="BG448" i="1"/>
  <c r="BG449" i="1" s="1"/>
  <c r="BG450" i="1" s="1"/>
  <c r="BG476" i="1"/>
  <c r="BG54" i="9"/>
  <c r="BG453" i="1"/>
  <c r="BG659" i="1"/>
  <c r="BG674" i="1" s="1"/>
  <c r="BG123" i="9" l="1"/>
  <c r="BG84" i="9"/>
  <c r="BG71" i="9"/>
  <c r="BG78" i="9" s="1"/>
  <c r="BG135" i="9" s="1"/>
  <c r="BG81" i="9"/>
  <c r="BG83" i="9" s="1"/>
  <c r="BG126" i="9"/>
  <c r="BG120" i="9"/>
  <c r="BG707" i="1"/>
  <c r="BG101" i="9"/>
  <c r="BG102" i="9" s="1"/>
  <c r="BG7" i="9"/>
  <c r="BG11" i="9" s="1"/>
  <c r="BG124" i="9" s="1"/>
  <c r="BG712" i="1"/>
  <c r="BG458" i="1"/>
  <c r="BG89" i="9" l="1"/>
  <c r="BG88" i="9"/>
  <c r="BG468" i="1"/>
  <c r="BG469" i="1"/>
  <c r="BG87" i="9"/>
  <c r="BG474" i="1"/>
  <c r="BG104" i="9"/>
  <c r="BG105" i="9" s="1"/>
  <c r="BG106" i="9" s="1"/>
  <c r="BG107" i="9" s="1"/>
  <c r="BG127" i="9"/>
  <c r="BG112" i="9"/>
  <c r="BG113" i="9" s="1"/>
  <c r="BG103" i="9"/>
  <c r="BG477" i="1" l="1"/>
  <c r="BG48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Canalyst (PA)</author>
    <author>Canalyst (AA)</author>
    <author>Canalyst (LZ)</author>
    <author>Canalyst (BP)</author>
    <author>Canalyst (DL)</author>
    <author>Canalyst (JK)</author>
    <author>Canalyst (TP)</author>
    <author>Luo Desmond</author>
    <author>Canalyst (SK)</author>
  </authors>
  <commentList>
    <comment ref="V2" authorId="0" shapeId="0" xr:uid="{00000000-0006-0000-0100-000001000000}">
      <text>
        <r>
          <rPr>
            <b/>
            <sz val="9"/>
            <rFont val="Tahoma"/>
            <family val="2"/>
          </rPr>
          <t>Canalyst (PA):</t>
        </r>
        <r>
          <rPr>
            <sz val="9"/>
            <rFont val="Tahoma"/>
            <family val="2"/>
          </rPr>
          <t xml:space="preserve">
Company re-categorized expenses in Q4 2018 and reported retrospectively for all periods starting from Q1 2016. Re-categorization had no impact on cash flow or balance sheet statements.
Income statement as reported has been re-stated accordingly.</t>
        </r>
      </text>
    </comment>
    <comment ref="W2" authorId="0" shapeId="0" xr:uid="{00000000-0006-0000-0100-000002000000}">
      <text>
        <r>
          <rPr>
            <b/>
            <sz val="9"/>
            <rFont val="Tahoma"/>
            <family val="2"/>
          </rPr>
          <t>Canalyst (PA):</t>
        </r>
        <r>
          <rPr>
            <sz val="9"/>
            <rFont val="Tahoma"/>
            <family val="2"/>
          </rPr>
          <t xml:space="preserve">
Company re-categorized expenses in Q4 2018 and reported retrospectively for all periods starting from Q1 2016. Re-categorization had no impact on cash flow or balance sheet statements.
Income statement as reported has been re-stated accordingly.</t>
        </r>
      </text>
    </comment>
    <comment ref="X2" authorId="0" shapeId="0" xr:uid="{00000000-0006-0000-0100-000003000000}">
      <text>
        <r>
          <rPr>
            <b/>
            <sz val="9"/>
            <rFont val="Tahoma"/>
            <family val="2"/>
          </rPr>
          <t>Canalyst (PA):</t>
        </r>
        <r>
          <rPr>
            <sz val="9"/>
            <rFont val="Tahoma"/>
            <family val="2"/>
          </rPr>
          <t xml:space="preserve">
Company re-categorized expenses in Q4 2018 and reported retrospectively for all periods starting from Q1 2016. Re-categorization had no impact on cash flow or balance sheet statements.
Income statement as reported has been re-stated accordingly.</t>
        </r>
      </text>
    </comment>
    <comment ref="Y2" authorId="0" shapeId="0" xr:uid="{00000000-0006-0000-0100-000004000000}">
      <text>
        <r>
          <rPr>
            <b/>
            <sz val="9"/>
            <rFont val="Tahoma"/>
            <family val="2"/>
          </rPr>
          <t>Canalyst (PA):</t>
        </r>
        <r>
          <rPr>
            <sz val="9"/>
            <rFont val="Tahoma"/>
            <family val="2"/>
          </rPr>
          <t xml:space="preserve">
Company re-categorized expenses in Q4 2018 and reported retrospectively for all periods starting from Q1 2016. Re-categorization had no impact on cash flow or balance sheet statements.
Income statement as reported has been re-stated accordingly.</t>
        </r>
      </text>
    </comment>
    <comment ref="Z2" authorId="0" shapeId="0" xr:uid="{00000000-0006-0000-0100-000005000000}">
      <text>
        <r>
          <rPr>
            <b/>
            <sz val="9"/>
            <rFont val="Tahoma"/>
            <family val="2"/>
          </rPr>
          <t>Canalyst (PA):</t>
        </r>
        <r>
          <rPr>
            <sz val="9"/>
            <rFont val="Tahoma"/>
            <family val="2"/>
          </rPr>
          <t xml:space="preserve">
Company re-categorized expenses in Q4 2018 and reported retrospectively for all periods starting from Q1 2016. Re-categorization had no impact on cash flow or balance sheet statements.
Income statement as reported has been re-stated accordingly.</t>
        </r>
      </text>
    </comment>
    <comment ref="AA2" authorId="0" shapeId="0" xr:uid="{00000000-0006-0000-0100-000006000000}">
      <text>
        <r>
          <rPr>
            <b/>
            <sz val="9"/>
            <rFont val="Tahoma"/>
            <family val="2"/>
          </rPr>
          <t>Canalyst (PA):</t>
        </r>
        <r>
          <rPr>
            <sz val="9"/>
            <rFont val="Tahoma"/>
            <family val="2"/>
          </rPr>
          <t xml:space="preserve">
Company re-categorized expenses in Q4 2018 and reported retrospectively for all periods starting from Q1 2016. Re-categorization had no impact on cash flow or balance sheet statements.
Income statement as reported has been re-stated accordingly.</t>
        </r>
      </text>
    </comment>
    <comment ref="AB2" authorId="0" shapeId="0" xr:uid="{00000000-0006-0000-0100-000007000000}">
      <text>
        <r>
          <rPr>
            <b/>
            <sz val="9"/>
            <rFont val="Tahoma"/>
            <family val="2"/>
          </rPr>
          <t>Canalyst (PA):</t>
        </r>
        <r>
          <rPr>
            <sz val="9"/>
            <rFont val="Tahoma"/>
            <family val="2"/>
          </rPr>
          <t xml:space="preserve">
Company re-categorized expenses in Q4 2018 and reported retrospectively for all periods starting from Q1 2016. Re-categorization had no impact on cash flow or balance sheet statements.
Income statement as reported has been re-stated accordingly.</t>
        </r>
      </text>
    </comment>
    <comment ref="AC2" authorId="0" shapeId="0" xr:uid="{00000000-0006-0000-0100-000008000000}">
      <text>
        <r>
          <rPr>
            <b/>
            <sz val="9"/>
            <rFont val="Tahoma"/>
            <family val="2"/>
          </rPr>
          <t>Canalyst (PA):</t>
        </r>
        <r>
          <rPr>
            <sz val="9"/>
            <rFont val="Tahoma"/>
            <family val="2"/>
          </rPr>
          <t xml:space="preserve">
Company re-categorized expenses in Q4 2018 and reported retrospectively for all periods starting from Q1 2016. Re-categorization had no impact on cash flow or balance sheet statements.
Income statement as reported has been re-stated accordingly.</t>
        </r>
      </text>
    </comment>
    <comment ref="AD2" authorId="0" shapeId="0" xr:uid="{00000000-0006-0000-0100-000009000000}">
      <text>
        <r>
          <rPr>
            <b/>
            <sz val="9"/>
            <rFont val="Tahoma"/>
            <family val="2"/>
          </rPr>
          <t>Canalyst (PA):</t>
        </r>
        <r>
          <rPr>
            <sz val="9"/>
            <rFont val="Tahoma"/>
            <family val="2"/>
          </rPr>
          <t xml:space="preserve">
Company re-categorized expenses in Q4 2018 and reported retrospectively for all periods starting from Q1 2016. Re-categorization had no impact on cash flow or balance sheet statements.
Income statement as reported has been re-stated accordingly.</t>
        </r>
      </text>
    </comment>
    <comment ref="AE2" authorId="0" shapeId="0" xr:uid="{00000000-0006-0000-0100-00000A000000}">
      <text>
        <r>
          <rPr>
            <b/>
            <sz val="9"/>
            <rFont val="Tahoma"/>
            <family val="2"/>
          </rPr>
          <t>Canalyst (PA):</t>
        </r>
        <r>
          <rPr>
            <sz val="9"/>
            <rFont val="Tahoma"/>
            <family val="2"/>
          </rPr>
          <t xml:space="preserve">
Company re-categorized expenses in Q4 2018 and reported retrospectively for all periods starting from Q1 2016. Re-categorization had no impact on cash flow or balance sheet statements.
Income statement as reported has been re-stated accordingly.</t>
        </r>
      </text>
    </comment>
    <comment ref="AF2" authorId="0" shapeId="0" xr:uid="{00000000-0006-0000-0100-00000B000000}">
      <text>
        <r>
          <rPr>
            <b/>
            <sz val="9"/>
            <rFont val="Tahoma"/>
            <family val="2"/>
          </rPr>
          <t>Canalyst (PA):</t>
        </r>
        <r>
          <rPr>
            <sz val="9"/>
            <rFont val="Tahoma"/>
            <family val="2"/>
          </rPr>
          <t xml:space="preserve">
Company re-categorized expenses in Q4 2018 and reported retrospectively for all periods starting from Q1 2016. Re-categorization had no impact on cash flow or balance sheet statements.
Income statement as reported has been re-stated accordingly.</t>
        </r>
      </text>
    </comment>
    <comment ref="AG2" authorId="0" shapeId="0" xr:uid="{00000000-0006-0000-0100-00000C000000}">
      <text>
        <r>
          <rPr>
            <b/>
            <sz val="9"/>
            <rFont val="Tahoma"/>
            <family val="2"/>
          </rPr>
          <t>Canalyst (PA):</t>
        </r>
        <r>
          <rPr>
            <sz val="9"/>
            <rFont val="Tahoma"/>
            <family val="2"/>
          </rPr>
          <t xml:space="preserve">
Company re-categorized expenses in Q4 2018 and reported retrospectively for all periods starting from Q1 2016. Re-categorization had no impact on cash flow or balance sheet statements.
Income statement as reported has been re-stated accordingly.</t>
        </r>
      </text>
    </comment>
    <comment ref="AH2" authorId="0" shapeId="0" xr:uid="{00000000-0006-0000-0100-00000D000000}">
      <text>
        <r>
          <rPr>
            <b/>
            <sz val="9"/>
            <rFont val="Tahoma"/>
            <family val="2"/>
          </rPr>
          <t>Canalyst (PA):</t>
        </r>
        <r>
          <rPr>
            <sz val="9"/>
            <rFont val="Tahoma"/>
            <family val="2"/>
          </rPr>
          <t xml:space="preserve">
Company re-categorized expenses in Q4 2018 and reported retrospectively for all periods starting from Q1 2016. Re-categorization had no impact on cash flow or balance sheet statements.
Income statement as reported has been re-stated accordingly.</t>
        </r>
      </text>
    </comment>
    <comment ref="AI2" authorId="0" shapeId="0" xr:uid="{00000000-0006-0000-0100-00000E000000}">
      <text>
        <r>
          <rPr>
            <b/>
            <sz val="9"/>
            <rFont val="Tahoma"/>
            <family val="2"/>
          </rPr>
          <t>Canalyst (PA):</t>
        </r>
        <r>
          <rPr>
            <sz val="9"/>
            <rFont val="Tahoma"/>
            <family val="2"/>
          </rPr>
          <t xml:space="preserve">
Company re-categorized expenses in Q4 2018 and reported retrospectively for all periods starting from Q1 2016. Re-categorization had no impact on cash flow or balance sheet statements.
Income statement as reported has been re-stated accordingly.</t>
        </r>
      </text>
    </comment>
    <comment ref="AS35" authorId="1" shapeId="0" xr:uid="{91C9111E-9ED0-4164-95C3-784D9140E3D4}">
      <text>
        <r>
          <rPr>
            <b/>
            <sz val="9"/>
            <rFont val="Tahoma"/>
            <family val="2"/>
          </rPr>
          <t>Canalyst (AA):</t>
        </r>
        <r>
          <rPr>
            <sz val="9"/>
            <rFont val="Tahoma"/>
            <family val="2"/>
          </rPr>
          <t xml:space="preserve">
backed out, reported as flat</t>
        </r>
      </text>
    </comment>
    <comment ref="AP39" authorId="2" shapeId="0" xr:uid="{A1A09162-06C2-4297-9DD5-85BF481C97DA}">
      <text>
        <r>
          <rPr>
            <b/>
            <sz val="9"/>
            <rFont val="Tahoma"/>
            <family val="2"/>
          </rPr>
          <t>Canalyst (LZ):</t>
        </r>
        <r>
          <rPr>
            <sz val="9"/>
            <rFont val="Tahoma"/>
            <family val="2"/>
          </rPr>
          <t xml:space="preserve">
Company no longer reports United States members and revenues separately. Rather, they report amalgamated metrics comprising of US and Canada subscribers (UCAN)</t>
        </r>
      </text>
    </comment>
    <comment ref="AP42" authorId="2" shapeId="0" xr:uid="{B5B12820-20CD-49C7-8359-F3110F46018B}">
      <text>
        <r>
          <rPr>
            <b/>
            <sz val="9"/>
            <rFont val="Tahoma"/>
            <family val="2"/>
          </rPr>
          <t>Canalyst (LZ):</t>
        </r>
        <r>
          <rPr>
            <sz val="9"/>
            <rFont val="Tahoma"/>
            <family val="2"/>
          </rPr>
          <t xml:space="preserve">
Company no longer reports United States members and revenues separately. Rather, they report amalgamated metrics comprising of US and Canada subscribers (UCAN)</t>
        </r>
      </text>
    </comment>
    <comment ref="A43" authorId="0" shapeId="0" xr:uid="{00000000-0006-0000-0100-000014000000}">
      <text>
        <r>
          <rPr>
            <b/>
            <sz val="9"/>
            <rFont val="Tahoma"/>
            <family val="2"/>
          </rPr>
          <t>Canalyst (PA):</t>
        </r>
        <r>
          <rPr>
            <sz val="9"/>
            <rFont val="Tahoma"/>
            <family val="2"/>
          </rPr>
          <t xml:space="preserve">
Canada stats are not explicitly reported. They are calculated by subtracting US stats from US &amp; Canada combined stats.</t>
        </r>
      </text>
    </comment>
    <comment ref="AP43" authorId="2" shapeId="0" xr:uid="{AEBF0633-B2AA-4CD4-8309-BB13FB40F733}">
      <text>
        <r>
          <rPr>
            <b/>
            <sz val="9"/>
            <rFont val="Tahoma"/>
            <family val="2"/>
          </rPr>
          <t>Canalyst (LZ):</t>
        </r>
        <r>
          <rPr>
            <sz val="9"/>
            <rFont val="Tahoma"/>
            <family val="2"/>
          </rPr>
          <t xml:space="preserve">
Company no longer reports United States members and revenues separately. Rather, they report amalgamated metrics comprising of US and Canada subscribers (UCAN)</t>
        </r>
      </text>
    </comment>
    <comment ref="A45" authorId="0" shapeId="0" xr:uid="{00000000-0006-0000-0100-000011000000}">
      <text>
        <r>
          <rPr>
            <b/>
            <sz val="9"/>
            <rFont val="Tahoma"/>
            <family val="2"/>
          </rPr>
          <t>Canalyst (PA):</t>
        </r>
        <r>
          <rPr>
            <sz val="9"/>
            <rFont val="Tahoma"/>
            <family val="2"/>
          </rPr>
          <t xml:space="preserve">
Canada stats are not explicitly reported. They are calculated by subtracting US stats from US &amp; Canada combined stats.</t>
        </r>
      </text>
    </comment>
    <comment ref="AP46" authorId="2" shapeId="0" xr:uid="{3896FD40-720C-4DBC-A269-4F339CDFB40C}">
      <text>
        <r>
          <rPr>
            <b/>
            <sz val="9"/>
            <rFont val="Tahoma"/>
            <family val="2"/>
          </rPr>
          <t>Canalyst (LZ):</t>
        </r>
        <r>
          <rPr>
            <sz val="9"/>
            <rFont val="Tahoma"/>
            <family val="2"/>
          </rPr>
          <t xml:space="preserve">
Company no longer reports United States members and revenues separately. Rather, they report amalgamated metrics comprising of US and Canada subscribers (UCAN)</t>
        </r>
      </text>
    </comment>
    <comment ref="AA48" authorId="1" shapeId="0" xr:uid="{11460C5B-BB9F-4808-9969-E9F96780BAEA}">
      <text>
        <r>
          <rPr>
            <b/>
            <sz val="9"/>
            <rFont val="Tahoma"/>
            <family val="2"/>
          </rPr>
          <t>Canalyst (AA):</t>
        </r>
        <r>
          <rPr>
            <sz val="9"/>
            <rFont val="Tahoma"/>
            <family val="2"/>
          </rPr>
          <t xml:space="preserve">
backed out</t>
        </r>
      </text>
    </comment>
    <comment ref="AA54" authorId="1" shapeId="0" xr:uid="{D79FEB49-F978-4E58-ABD2-2825AD26B32B}">
      <text>
        <r>
          <rPr>
            <b/>
            <sz val="9"/>
            <rFont val="Tahoma"/>
            <family val="2"/>
          </rPr>
          <t>Canalyst (AA):</t>
        </r>
        <r>
          <rPr>
            <sz val="9"/>
            <rFont val="Tahoma"/>
            <family val="2"/>
          </rPr>
          <t xml:space="preserve">
as reported</t>
        </r>
      </text>
    </comment>
    <comment ref="A60" authorId="0" shapeId="0" xr:uid="{00000000-0006-0000-0100-000015000000}">
      <text>
        <r>
          <rPr>
            <b/>
            <sz val="9"/>
            <rFont val="Tahoma"/>
            <family val="2"/>
          </rPr>
          <t>Canalyst (PA):</t>
        </r>
        <r>
          <rPr>
            <sz val="9"/>
            <rFont val="Tahoma"/>
            <family val="2"/>
          </rPr>
          <t xml:space="preserve">
Canada stats are not explicitly reported. They are calculated by subtracting US stats from US &amp; Canada combined stats.</t>
        </r>
      </text>
    </comment>
    <comment ref="A61" authorId="0" shapeId="0" xr:uid="{00000000-0006-0000-0100-000012000000}">
      <text>
        <r>
          <rPr>
            <b/>
            <sz val="9"/>
            <rFont val="Tahoma"/>
            <family val="2"/>
          </rPr>
          <t>Canalyst (PA):</t>
        </r>
        <r>
          <rPr>
            <sz val="9"/>
            <rFont val="Tahoma"/>
            <family val="2"/>
          </rPr>
          <t xml:space="preserve">
Canada stats are not explicitly reported. They are calculated by subtracting US stats from US &amp; Canada combined stats.</t>
        </r>
      </text>
    </comment>
    <comment ref="AP67" authorId="2" shapeId="0" xr:uid="{9C2995D5-91B6-4318-B89D-8565E8B070F0}">
      <text>
        <r>
          <rPr>
            <b/>
            <sz val="9"/>
            <rFont val="Tahoma"/>
            <family val="2"/>
          </rPr>
          <t>Canalyst (LZ):</t>
        </r>
        <r>
          <rPr>
            <sz val="9"/>
            <rFont val="Tahoma"/>
            <family val="2"/>
          </rPr>
          <t xml:space="preserve">
Company no longer reports United States members and revenues separately. Rather, they report amalgamated metrics comprising of US and Canada subscribers (UCAN)</t>
        </r>
      </text>
    </comment>
    <comment ref="A69" authorId="0" shapeId="0" xr:uid="{00000000-0006-0000-0100-000016000000}">
      <text>
        <r>
          <rPr>
            <b/>
            <sz val="9"/>
            <rFont val="Tahoma"/>
            <family val="2"/>
          </rPr>
          <t>Canalyst (PA):</t>
        </r>
        <r>
          <rPr>
            <sz val="9"/>
            <rFont val="Tahoma"/>
            <family val="2"/>
          </rPr>
          <t xml:space="preserve">
Canada stats are not explicitly reported. They are calculated by subtracting US stats from US &amp; Canada combined stats.</t>
        </r>
      </text>
    </comment>
    <comment ref="AP69" authorId="2" shapeId="0" xr:uid="{84041CAC-FD06-4A56-855A-2648C1E5188B}">
      <text>
        <r>
          <rPr>
            <b/>
            <sz val="9"/>
            <rFont val="Tahoma"/>
            <family val="2"/>
          </rPr>
          <t>Canalyst (LZ):</t>
        </r>
        <r>
          <rPr>
            <sz val="9"/>
            <rFont val="Tahoma"/>
            <family val="2"/>
          </rPr>
          <t xml:space="preserve">
Company no longer reports United States members and revenues separately. Rather, they report amalgamated metrics comprising of US and Canada subscribers (UCAN)</t>
        </r>
      </text>
    </comment>
    <comment ref="A70" authorId="0" shapeId="0" xr:uid="{00000000-0006-0000-0100-000013000000}">
      <text>
        <r>
          <rPr>
            <b/>
            <sz val="9"/>
            <rFont val="Tahoma"/>
            <family val="2"/>
          </rPr>
          <t>Canalyst (PA):</t>
        </r>
        <r>
          <rPr>
            <sz val="9"/>
            <rFont val="Tahoma"/>
            <family val="2"/>
          </rPr>
          <t xml:space="preserve">
Canada stats are not explicitly reported. They are calculated by subtracting US stats from US &amp; Canada combined stats.</t>
        </r>
      </text>
    </comment>
    <comment ref="AA76" authorId="1" shapeId="0" xr:uid="{882B55E2-9B40-476C-A7BC-DEC124864FA4}">
      <text>
        <r>
          <rPr>
            <b/>
            <sz val="9"/>
            <rFont val="Tahoma"/>
            <family val="2"/>
          </rPr>
          <t>Canalyst (AA):</t>
        </r>
        <r>
          <rPr>
            <sz val="9"/>
            <rFont val="Tahoma"/>
            <family val="2"/>
          </rPr>
          <t xml:space="preserve">
backed out</t>
        </r>
      </text>
    </comment>
    <comment ref="AA82" authorId="1" shapeId="0" xr:uid="{BE6BFB11-D2C4-4B6D-8580-8836DECA6619}">
      <text>
        <r>
          <rPr>
            <b/>
            <sz val="9"/>
            <rFont val="Tahoma"/>
            <family val="2"/>
          </rPr>
          <t>Canalyst (AA):</t>
        </r>
        <r>
          <rPr>
            <sz val="9"/>
            <rFont val="Tahoma"/>
            <family val="2"/>
          </rPr>
          <t xml:space="preserve">
as reported</t>
        </r>
      </text>
    </comment>
    <comment ref="AA96" authorId="1" shapeId="0" xr:uid="{C2EDAB06-4C58-4415-88E5-8ACA344215CE}">
      <text>
        <r>
          <rPr>
            <b/>
            <sz val="9"/>
            <rFont val="Tahoma"/>
            <family val="2"/>
          </rPr>
          <t>Canalyst (AA):</t>
        </r>
        <r>
          <rPr>
            <sz val="9"/>
            <rFont val="Tahoma"/>
            <family val="2"/>
          </rPr>
          <t xml:space="preserve">
backed out</t>
        </r>
      </text>
    </comment>
    <comment ref="AA102" authorId="1" shapeId="0" xr:uid="{141F8E56-2C19-4ECB-8C92-14F846A5AD10}">
      <text>
        <r>
          <rPr>
            <b/>
            <sz val="9"/>
            <rFont val="Tahoma"/>
            <family val="2"/>
          </rPr>
          <t>Canalyst (AA):</t>
        </r>
        <r>
          <rPr>
            <sz val="9"/>
            <rFont val="Tahoma"/>
            <family val="2"/>
          </rPr>
          <t xml:space="preserve">
as reported</t>
        </r>
      </text>
    </comment>
    <comment ref="AA116" authorId="1" shapeId="0" xr:uid="{45977A43-31DC-497A-BADA-2700E9B254A6}">
      <text>
        <r>
          <rPr>
            <b/>
            <sz val="9"/>
            <rFont val="Tahoma"/>
            <family val="2"/>
          </rPr>
          <t>Canalyst (AA):</t>
        </r>
        <r>
          <rPr>
            <sz val="9"/>
            <rFont val="Tahoma"/>
            <family val="2"/>
          </rPr>
          <t xml:space="preserve">
backed out</t>
        </r>
      </text>
    </comment>
    <comment ref="AA122" authorId="1" shapeId="0" xr:uid="{00000000-0006-0000-0100-00001F000000}">
      <text>
        <r>
          <rPr>
            <b/>
            <sz val="9"/>
            <rFont val="Tahoma"/>
            <family val="2"/>
          </rPr>
          <t>Canalyst (AA):</t>
        </r>
        <r>
          <rPr>
            <sz val="9"/>
            <rFont val="Tahoma"/>
            <family val="2"/>
          </rPr>
          <t xml:space="preserve">
as reported</t>
        </r>
      </text>
    </comment>
    <comment ref="AK240" authorId="1" shapeId="0" xr:uid="{CEF44398-573D-4A4C-B462-1B855F994151}">
      <text>
        <r>
          <rPr>
            <b/>
            <sz val="9"/>
            <rFont val="Tahoma"/>
            <family val="2"/>
          </rPr>
          <t>Canalyst (AA):</t>
        </r>
        <r>
          <rPr>
            <sz val="9"/>
            <rFont val="Tahoma"/>
            <family val="2"/>
          </rPr>
          <t xml:space="preserve">
In Q4 2019,  the amortization of DVD content assets has been reclassified into "Other non-cash items" within CFO; DVD content assets have been reclassified from "Non-current content assets, net" to "Other non-current assets" . DVD content amortization has been restated</t>
        </r>
      </text>
    </comment>
    <comment ref="AL240" authorId="1" shapeId="0" xr:uid="{DE2A50C0-5036-4A58-BCB6-3E8B149D6D35}">
      <text>
        <r>
          <rPr>
            <b/>
            <sz val="9"/>
            <rFont val="Tahoma"/>
            <family val="2"/>
          </rPr>
          <t>Canalyst (AA):</t>
        </r>
        <r>
          <rPr>
            <sz val="9"/>
            <rFont val="Tahoma"/>
            <family val="2"/>
          </rPr>
          <t xml:space="preserve">
In Q4 2019,  the amortization of DVD content assets has been reclassified into "Other non-cash items" within CFO; DVD content assets have been reclassified from "Non-current content assets, net" to "Other non-current assets" . DVD content amortization has been restated</t>
        </r>
      </text>
    </comment>
    <comment ref="AM240" authorId="1" shapeId="0" xr:uid="{9D3B67DD-0FDA-40B5-AB35-CF636BD251EB}">
      <text>
        <r>
          <rPr>
            <b/>
            <sz val="9"/>
            <rFont val="Tahoma"/>
            <family val="2"/>
          </rPr>
          <t>Canalyst (AA):</t>
        </r>
        <r>
          <rPr>
            <sz val="9"/>
            <rFont val="Tahoma"/>
            <family val="2"/>
          </rPr>
          <t xml:space="preserve">
In Q4 2019,  the amortization of DVD content assets has been reclassified into "Other non-cash items" within CFO; DVD content assets have been reclassified from "Non-current content assets, net" to "Other non-current assets" . DVD content amortization has been restated</t>
        </r>
      </text>
    </comment>
    <comment ref="A244" authorId="3" shapeId="0" xr:uid="{00000000-0006-0000-0100-000017000000}">
      <text>
        <r>
          <rPr>
            <b/>
            <sz val="9"/>
            <rFont val="Tahoma"/>
            <family val="2"/>
          </rPr>
          <t>Canalyst (BP):</t>
        </r>
        <r>
          <rPr>
            <sz val="9"/>
            <rFont val="Tahoma"/>
            <family val="2"/>
          </rPr>
          <t xml:space="preserve">
Reconciliation of other charges/additions to content library base.</t>
        </r>
      </text>
    </comment>
    <comment ref="AJ250" authorId="4" shapeId="0" xr:uid="{E98520ED-B676-43AC-BAAC-4B67FA3B4E0D}">
      <text>
        <r>
          <rPr>
            <b/>
            <sz val="9"/>
            <rFont val="Tahoma"/>
            <family val="2"/>
            <charset val="1"/>
          </rPr>
          <t>Canalyst (DL):</t>
        </r>
        <r>
          <rPr>
            <sz val="9"/>
            <rFont val="Tahoma"/>
            <family val="2"/>
            <charset val="1"/>
          </rPr>
          <t xml:space="preserve">
assume DVD amortization is combined into produced content amortization in FY2019's 10-K report</t>
        </r>
      </text>
    </comment>
    <comment ref="AV262" authorId="1" shapeId="0" xr:uid="{EC9A5BB1-5F9F-4184-8737-9EACDE8A91E3}">
      <text>
        <r>
          <rPr>
            <b/>
            <sz val="9"/>
            <rFont val="Tahoma"/>
            <family val="2"/>
          </rPr>
          <t>Canalyst (AA):</t>
        </r>
        <r>
          <rPr>
            <sz val="9"/>
            <rFont val="Tahoma"/>
            <family val="2"/>
          </rPr>
          <t xml:space="preserve">
reported as 27%</t>
        </r>
      </text>
    </comment>
    <comment ref="AI268" authorId="5" shapeId="0" xr:uid="{00000000-0006-0000-0100-000018000000}">
      <text>
        <r>
          <rPr>
            <b/>
            <sz val="9"/>
            <rFont val="Tahoma"/>
            <family val="2"/>
            <charset val="1"/>
          </rPr>
          <t>Canalyst (JK):</t>
        </r>
        <r>
          <rPr>
            <sz val="9"/>
            <rFont val="Tahoma"/>
            <family val="2"/>
            <charset val="1"/>
          </rPr>
          <t xml:space="preserve">
Not reported in PR - to be updated upon release of the 10-Q</t>
        </r>
      </text>
    </comment>
    <comment ref="AV274" authorId="1" shapeId="0" xr:uid="{B8A71E21-51BA-4276-9207-C46246376B3E}">
      <text>
        <r>
          <rPr>
            <b/>
            <sz val="9"/>
            <rFont val="Tahoma"/>
            <family val="2"/>
          </rPr>
          <t>Canalyst (AA):</t>
        </r>
        <r>
          <rPr>
            <sz val="9"/>
            <rFont val="Tahoma"/>
            <family val="2"/>
          </rPr>
          <t xml:space="preserve">
primarily due to expenses related to the COVID-19 pandemic and continued growth in our content production activities, coupled with an increase in payment processing fees</t>
        </r>
      </text>
    </comment>
    <comment ref="AW274" authorId="6" shapeId="0" xr:uid="{73C04F1D-FDDA-4A67-ADD9-4926A50E9660}">
      <text>
        <r>
          <rPr>
            <b/>
            <sz val="9"/>
            <rFont val="Tahoma"/>
            <family val="2"/>
          </rPr>
          <t>Canalyst (TP):</t>
        </r>
        <r>
          <rPr>
            <sz val="9"/>
            <rFont val="Tahoma"/>
            <family val="2"/>
          </rPr>
          <t xml:space="preserve">
"Other costs of revenues increased $110 million primarily due to continued growth in our content production activities, coupled with an increase in payment processing fees driven by our growing member base.
The decrease in cost of revenues as a percentage of revenues from 60% to 56% is primarily due to delays in content releases due to the COVID-19 pandemic, resulting in content amortization growing at a slower rate as compared to the growth in revenue."</t>
        </r>
      </text>
    </comment>
    <comment ref="AO280" authorId="4" shapeId="0" xr:uid="{C50191B4-FD8E-4A5E-B3DC-3732AEC94349}">
      <text>
        <r>
          <rPr>
            <b/>
            <sz val="9"/>
            <rFont val="Tahoma"/>
            <family val="2"/>
          </rPr>
          <t>Canalyst (DL):</t>
        </r>
        <r>
          <rPr>
            <sz val="9"/>
            <rFont val="Tahoma"/>
            <family val="2"/>
          </rPr>
          <t xml:space="preserve">
Not reported, estimated by text saying remaining value due to increased advertising expenses to partners</t>
        </r>
      </text>
    </comment>
    <comment ref="AE299" authorId="4" shapeId="0" xr:uid="{00000000-0006-0000-0100-00001A000000}">
      <text>
        <r>
          <rPr>
            <b/>
            <sz val="9"/>
            <rFont val="Tahoma"/>
            <family val="2"/>
          </rPr>
          <t>Canalyst (DL):</t>
        </r>
        <r>
          <rPr>
            <sz val="9"/>
            <rFont val="Tahoma"/>
            <family val="2"/>
          </rPr>
          <t xml:space="preserve">
from 2018's 10-K, post recategorize data</t>
        </r>
      </text>
    </comment>
    <comment ref="AJ299" authorId="4" shapeId="0" xr:uid="{00000000-0006-0000-0100-00001B000000}">
      <text>
        <r>
          <rPr>
            <b/>
            <sz val="9"/>
            <rFont val="Tahoma"/>
            <family val="2"/>
          </rPr>
          <t>Canalyst (DL):</t>
        </r>
        <r>
          <rPr>
            <sz val="9"/>
            <rFont val="Tahoma"/>
            <family val="2"/>
          </rPr>
          <t xml:space="preserve">
from 2018's 10-K, post recategorize data</t>
        </r>
      </text>
    </comment>
    <comment ref="Z300" authorId="4" shapeId="0" xr:uid="{00000000-0006-0000-0100-00001C000000}">
      <text>
        <r>
          <rPr>
            <b/>
            <sz val="9"/>
            <rFont val="Tahoma"/>
            <family val="2"/>
          </rPr>
          <t>Canalyst (DL):</t>
        </r>
        <r>
          <rPr>
            <sz val="9"/>
            <rFont val="Tahoma"/>
            <family val="2"/>
          </rPr>
          <t xml:space="preserve">
discrepancy is large for this period because segment data is updated with recategorize reported in 2018 10-K while COGS change data is from reports prior 2018 10-K</t>
        </r>
      </text>
    </comment>
    <comment ref="AA300" authorId="4" shapeId="0" xr:uid="{00000000-0006-0000-0100-00001D000000}">
      <text>
        <r>
          <rPr>
            <b/>
            <sz val="9"/>
            <rFont val="Tahoma"/>
            <family val="2"/>
          </rPr>
          <t>Canalyst (DL):</t>
        </r>
        <r>
          <rPr>
            <sz val="9"/>
            <rFont val="Tahoma"/>
            <family val="2"/>
          </rPr>
          <t xml:space="preserve">
discrepancy is large for this period because segment data is updated with recategorize reported in 2018 10-K while COGS change data is from reports prior 2018 10-K</t>
        </r>
      </text>
    </comment>
    <comment ref="AB300" authorId="4" shapeId="0" xr:uid="{00000000-0006-0000-0100-00001E000000}">
      <text>
        <r>
          <rPr>
            <b/>
            <sz val="9"/>
            <rFont val="Tahoma"/>
            <family val="2"/>
          </rPr>
          <t>Canalyst (DL):</t>
        </r>
        <r>
          <rPr>
            <sz val="9"/>
            <rFont val="Tahoma"/>
            <family val="2"/>
          </rPr>
          <t xml:space="preserve">
discrepancy is large for this period because segment data is updated with recategorize reported in 2018 10-K while COGS change data is from reports prior 2018 10-K</t>
        </r>
      </text>
    </comment>
    <comment ref="AC300" authorId="4" shapeId="0" xr:uid="{00000000-0006-0000-0100-00001F000000}">
      <text>
        <r>
          <rPr>
            <b/>
            <sz val="9"/>
            <rFont val="Tahoma"/>
            <family val="2"/>
          </rPr>
          <t>Canalyst (DL):</t>
        </r>
        <r>
          <rPr>
            <sz val="9"/>
            <rFont val="Tahoma"/>
            <family val="2"/>
          </rPr>
          <t xml:space="preserve">
discrepancy is large for this period because segment data is updated with recategorize reported in 2018 10-K while COGS change data is from reports prior 2018 10-K</t>
        </r>
      </text>
    </comment>
    <comment ref="AD300" authorId="4" shapeId="0" xr:uid="{00000000-0006-0000-0100-000020000000}">
      <text>
        <r>
          <rPr>
            <b/>
            <sz val="9"/>
            <rFont val="Tahoma"/>
            <family val="2"/>
          </rPr>
          <t>Canalyst (DL):</t>
        </r>
        <r>
          <rPr>
            <sz val="9"/>
            <rFont val="Tahoma"/>
            <family val="2"/>
          </rPr>
          <t xml:space="preserve">
discrepancy is large for this period because segment data is updated with recategorize reported in 2018 10-K while COGS change data is from reports prior 2018 10-K</t>
        </r>
      </text>
    </comment>
    <comment ref="AF300" authorId="4" shapeId="0" xr:uid="{00000000-0006-0000-0100-000021000000}">
      <text>
        <r>
          <rPr>
            <b/>
            <sz val="9"/>
            <rFont val="Tahoma"/>
            <family val="2"/>
          </rPr>
          <t>Canalyst (DL):</t>
        </r>
        <r>
          <rPr>
            <sz val="9"/>
            <rFont val="Tahoma"/>
            <family val="2"/>
          </rPr>
          <t xml:space="preserve">
discrepancy is large for this period because segment data is updated with recategorize reported in 2018 10-K while COGS change data is from reports prior 2018 10-K</t>
        </r>
      </text>
    </comment>
    <comment ref="AG300" authorId="4" shapeId="0" xr:uid="{00000000-0006-0000-0100-000022000000}">
      <text>
        <r>
          <rPr>
            <b/>
            <sz val="9"/>
            <rFont val="Tahoma"/>
            <family val="2"/>
          </rPr>
          <t>Canalyst (DL):</t>
        </r>
        <r>
          <rPr>
            <sz val="9"/>
            <rFont val="Tahoma"/>
            <family val="2"/>
          </rPr>
          <t xml:space="preserve">
discrepancy is large for this period because segment data is updated with recategorize reported in 2018 10-K while COGS change data is from reports prior 2018 10-K</t>
        </r>
      </text>
    </comment>
    <comment ref="AH300" authorId="4" shapeId="0" xr:uid="{00000000-0006-0000-0100-000023000000}">
      <text>
        <r>
          <rPr>
            <b/>
            <sz val="9"/>
            <rFont val="Tahoma"/>
            <family val="2"/>
          </rPr>
          <t>Canalyst (DL):</t>
        </r>
        <r>
          <rPr>
            <sz val="9"/>
            <rFont val="Tahoma"/>
            <family val="2"/>
          </rPr>
          <t xml:space="preserve">
discrepancy is large for this period because segment data is updated with recategorize reported in 2018 10-K while COGS change data is from reports prior 2018 10-K</t>
        </r>
      </text>
    </comment>
    <comment ref="AI300" authorId="4" shapeId="0" xr:uid="{00000000-0006-0000-0100-000024000000}">
      <text>
        <r>
          <rPr>
            <b/>
            <sz val="9"/>
            <rFont val="Tahoma"/>
            <family val="2"/>
          </rPr>
          <t>Canalyst (DL):</t>
        </r>
        <r>
          <rPr>
            <sz val="9"/>
            <rFont val="Tahoma"/>
            <family val="2"/>
          </rPr>
          <t xml:space="preserve">
discrepancy is large for this period because segment data is updated with recategorize reported in 2018 10-K while COGS change data is from reports prior 2018 10-K</t>
        </r>
      </text>
    </comment>
    <comment ref="P305" authorId="4" shapeId="0" xr:uid="{00000000-0006-0000-0100-000025000000}">
      <text>
        <r>
          <rPr>
            <b/>
            <sz val="9"/>
            <rFont val="Tahoma"/>
            <family val="2"/>
          </rPr>
          <t>Canalyst (DL):</t>
        </r>
        <r>
          <rPr>
            <sz val="9"/>
            <rFont val="Tahoma"/>
            <family val="2"/>
          </rPr>
          <t xml:space="preserve">
primarily streaming delivery</t>
        </r>
      </text>
    </comment>
    <comment ref="U305" authorId="4" shapeId="0" xr:uid="{00000000-0006-0000-0100-000026000000}">
      <text>
        <r>
          <rPr>
            <b/>
            <sz val="9"/>
            <rFont val="Tahoma"/>
            <family val="2"/>
          </rPr>
          <t>Canalyst (DL):</t>
        </r>
        <r>
          <rPr>
            <sz val="9"/>
            <rFont val="Tahoma"/>
            <family val="2"/>
          </rPr>
          <t xml:space="preserve">
primarily streaming delivery</t>
        </r>
      </text>
    </comment>
    <comment ref="AE305" authorId="4" shapeId="0" xr:uid="{00000000-0006-0000-0100-000027000000}">
      <text>
        <r>
          <rPr>
            <b/>
            <sz val="9"/>
            <rFont val="Tahoma"/>
            <family val="2"/>
          </rPr>
          <t>Canalyst (DL):</t>
        </r>
        <r>
          <rPr>
            <sz val="9"/>
            <rFont val="Tahoma"/>
            <family val="2"/>
          </rPr>
          <t xml:space="preserve">
from 2018's 10-K, post recategorize data</t>
        </r>
      </text>
    </comment>
    <comment ref="AJ305" authorId="4" shapeId="0" xr:uid="{00000000-0006-0000-0100-000028000000}">
      <text>
        <r>
          <rPr>
            <b/>
            <sz val="9"/>
            <rFont val="Tahoma"/>
            <family val="2"/>
          </rPr>
          <t>Canalyst (DL):</t>
        </r>
        <r>
          <rPr>
            <sz val="9"/>
            <rFont val="Tahoma"/>
            <family val="2"/>
          </rPr>
          <t xml:space="preserve">
from 2018's 10-K, post recategorize data</t>
        </r>
      </text>
    </comment>
    <comment ref="AA306" authorId="4" shapeId="0" xr:uid="{00000000-0006-0000-0100-000029000000}">
      <text>
        <r>
          <rPr>
            <b/>
            <sz val="9"/>
            <rFont val="Tahoma"/>
            <family val="2"/>
          </rPr>
          <t>Canalyst (DL):</t>
        </r>
        <r>
          <rPr>
            <sz val="9"/>
            <rFont val="Tahoma"/>
            <family val="2"/>
          </rPr>
          <t xml:space="preserve">
discrepancy is large for this period because segment data is updated with recategorize reported in 2018 10-K while COGS change data is from reports prior 2018 10-K</t>
        </r>
      </text>
    </comment>
    <comment ref="AB306" authorId="4" shapeId="0" xr:uid="{00000000-0006-0000-0100-00002A000000}">
      <text>
        <r>
          <rPr>
            <b/>
            <sz val="9"/>
            <rFont val="Tahoma"/>
            <family val="2"/>
          </rPr>
          <t>Canalyst (DL):</t>
        </r>
        <r>
          <rPr>
            <sz val="9"/>
            <rFont val="Tahoma"/>
            <family val="2"/>
          </rPr>
          <t xml:space="preserve">
discrepancy is large for this period because segment data is updated with recategorize reported in 2018 10-K while COGS change data is from reports prior 2018 10-K</t>
        </r>
      </text>
    </comment>
    <comment ref="AC306" authorId="4" shapeId="0" xr:uid="{00000000-0006-0000-0100-00002B000000}">
      <text>
        <r>
          <rPr>
            <b/>
            <sz val="9"/>
            <rFont val="Tahoma"/>
            <family val="2"/>
          </rPr>
          <t>Canalyst (DL):</t>
        </r>
        <r>
          <rPr>
            <sz val="9"/>
            <rFont val="Tahoma"/>
            <family val="2"/>
          </rPr>
          <t xml:space="preserve">
discrepancy is large for this period because segment data is updated with recategorize reported in 2018 10-K while COGS change data is from reports prior 2018 10-K</t>
        </r>
      </text>
    </comment>
    <comment ref="AD306" authorId="4" shapeId="0" xr:uid="{00000000-0006-0000-0100-00002C000000}">
      <text>
        <r>
          <rPr>
            <b/>
            <sz val="9"/>
            <rFont val="Tahoma"/>
            <family val="2"/>
          </rPr>
          <t>Canalyst (DL):</t>
        </r>
        <r>
          <rPr>
            <sz val="9"/>
            <rFont val="Tahoma"/>
            <family val="2"/>
          </rPr>
          <t xml:space="preserve">
discrepancy is large for this period because segment data is updated with recategorize reported in 2018 10-K while COGS change data is from reports prior 2018 10-K</t>
        </r>
      </text>
    </comment>
    <comment ref="AF306" authorId="4" shapeId="0" xr:uid="{00000000-0006-0000-0100-00002D000000}">
      <text>
        <r>
          <rPr>
            <b/>
            <sz val="9"/>
            <rFont val="Tahoma"/>
            <family val="2"/>
          </rPr>
          <t>Canalyst (DL):</t>
        </r>
        <r>
          <rPr>
            <sz val="9"/>
            <rFont val="Tahoma"/>
            <family val="2"/>
          </rPr>
          <t xml:space="preserve">
discrepancy is large for this period because segment data is updated with recategorize reported in 2018 10-K while COGS change data is from reports prior 2018 10-K</t>
        </r>
      </text>
    </comment>
    <comment ref="AG306" authorId="4" shapeId="0" xr:uid="{00000000-0006-0000-0100-00002E000000}">
      <text>
        <r>
          <rPr>
            <b/>
            <sz val="9"/>
            <rFont val="Tahoma"/>
            <family val="2"/>
          </rPr>
          <t>Canalyst (DL):</t>
        </r>
        <r>
          <rPr>
            <sz val="9"/>
            <rFont val="Tahoma"/>
            <family val="2"/>
          </rPr>
          <t xml:space="preserve">
discrepancy is large for this period because segment data is updated with recategorize reported in 2018 10-K while COGS change data is from reports prior 2018 10-K</t>
        </r>
      </text>
    </comment>
    <comment ref="AH306" authorId="4" shapeId="0" xr:uid="{00000000-0006-0000-0100-00002F000000}">
      <text>
        <r>
          <rPr>
            <b/>
            <sz val="9"/>
            <rFont val="Tahoma"/>
            <family val="2"/>
          </rPr>
          <t>Canalyst (DL):</t>
        </r>
        <r>
          <rPr>
            <sz val="9"/>
            <rFont val="Tahoma"/>
            <family val="2"/>
          </rPr>
          <t xml:space="preserve">
discrepancy is large for this period because segment data is updated with recategorize reported in 2018 10-K while COGS change data is from reports prior 2018 10-Kdiscrepancy is large for this period because segment data is updated with recategorize reported in 2018 10-K while COGS change data is from reports prior 2018 10-K</t>
        </r>
      </text>
    </comment>
    <comment ref="AI306" authorId="4" shapeId="0" xr:uid="{00000000-0006-0000-0100-000030000000}">
      <text>
        <r>
          <rPr>
            <b/>
            <sz val="9"/>
            <rFont val="Tahoma"/>
            <family val="2"/>
          </rPr>
          <t>Canalyst (DL):</t>
        </r>
        <r>
          <rPr>
            <sz val="9"/>
            <rFont val="Tahoma"/>
            <family val="2"/>
          </rPr>
          <t xml:space="preserve">
discrepancy is large for this period because segment data is updated with recategorize reported in 2018 10-K while COGS change data is from reports prior 2018 10-K</t>
        </r>
      </text>
    </comment>
    <comment ref="AS355" authorId="7" shapeId="0" xr:uid="{005966B2-7C5B-4D92-8248-8EBD1D7BD601}">
      <text>
        <r>
          <rPr>
            <b/>
            <sz val="9"/>
            <rFont val="Tahoma"/>
            <family val="2"/>
          </rPr>
          <t xml:space="preserve">Canalyst (DL):
</t>
        </r>
        <r>
          <rPr>
            <sz val="9"/>
            <rFont val="Tahoma"/>
            <family val="2"/>
          </rPr>
          <t>Company did not reported Adjusted EBITDA for this period. Assume it use same walkthrough as historically used.</t>
        </r>
      </text>
    </comment>
    <comment ref="AU355" authorId="7" shapeId="0" xr:uid="{F2D9B973-7C48-43B3-80EC-5C818D33D6C5}">
      <text>
        <r>
          <rPr>
            <b/>
            <sz val="9"/>
            <rFont val="Tahoma"/>
            <family val="2"/>
          </rPr>
          <t xml:space="preserve">Canalyst (DL):
</t>
        </r>
        <r>
          <rPr>
            <sz val="9"/>
            <rFont val="Tahoma"/>
            <family val="2"/>
          </rPr>
          <t>Company did not reported Adjusted EBITDA for this period. Assume it use same walkthrough as historically used.</t>
        </r>
      </text>
    </comment>
    <comment ref="AV355" authorId="8" shapeId="0" xr:uid="{D60BDBBD-A9FE-4829-AE50-9C3C7EAEB1EB}">
      <text>
        <r>
          <rPr>
            <b/>
            <sz val="9"/>
            <rFont val="Tahoma"/>
            <family val="2"/>
          </rPr>
          <t>Canalyst (SK):</t>
        </r>
        <r>
          <rPr>
            <sz val="9"/>
            <rFont val="Tahoma"/>
            <family val="2"/>
          </rPr>
          <t xml:space="preserve">
Company did not reported Adjusted EBITDA for this period. Assume it use same walkthrough as historically used.</t>
        </r>
      </text>
    </comment>
    <comment ref="AW355" authorId="8" shapeId="0" xr:uid="{DC484784-5096-4E20-BE91-ADD6E2B1D23C}">
      <text>
        <r>
          <rPr>
            <b/>
            <sz val="9"/>
            <rFont val="Tahoma"/>
            <family val="2"/>
          </rPr>
          <t>Canalyst (SK):</t>
        </r>
        <r>
          <rPr>
            <sz val="9"/>
            <rFont val="Tahoma"/>
            <family val="2"/>
          </rPr>
          <t xml:space="preserve">
Company did not reported Adjusted EBITDA for this period. Assume it use same walkthrough as historically used.</t>
        </r>
      </text>
    </comment>
    <comment ref="AS356" authorId="7" shapeId="0" xr:uid="{C4D2C4CC-423E-4E41-8AD9-015FE8A34FC9}">
      <text>
        <r>
          <rPr>
            <b/>
            <sz val="9"/>
            <rFont val="Tahoma"/>
            <family val="2"/>
          </rPr>
          <t xml:space="preserve">Canalyst (DL):
</t>
        </r>
        <r>
          <rPr>
            <sz val="9"/>
            <rFont val="Tahoma"/>
            <family val="2"/>
          </rPr>
          <t>Company did not reported Adjusted EBITDA for this period. Assume it use same walkthrough as historically used.</t>
        </r>
      </text>
    </comment>
    <comment ref="AU356" authorId="7" shapeId="0" xr:uid="{661333E6-A4B6-40CE-9847-E05328987A51}">
      <text>
        <r>
          <rPr>
            <b/>
            <sz val="9"/>
            <rFont val="Tahoma"/>
            <family val="2"/>
          </rPr>
          <t xml:space="preserve">Canalyst (DL):
</t>
        </r>
        <r>
          <rPr>
            <sz val="9"/>
            <rFont val="Tahoma"/>
            <family val="2"/>
          </rPr>
          <t>Company did not reported Adjusted EBITDA for this period. Assume it use same walkthrough as historically used.</t>
        </r>
      </text>
    </comment>
    <comment ref="AV356" authorId="8" shapeId="0" xr:uid="{9E8E8A31-651C-4DAE-87AC-6EE984E8875E}">
      <text>
        <r>
          <rPr>
            <b/>
            <sz val="9"/>
            <rFont val="Tahoma"/>
            <family val="2"/>
          </rPr>
          <t>Canalyst (SK):</t>
        </r>
        <r>
          <rPr>
            <sz val="9"/>
            <rFont val="Tahoma"/>
            <family val="2"/>
          </rPr>
          <t xml:space="preserve">
Company did not reported Adjusted EBITDA for this period. Assume it use same walkthrough as historically used.</t>
        </r>
      </text>
    </comment>
    <comment ref="AW356" authorId="8" shapeId="0" xr:uid="{E368924E-7EF3-4942-ABF0-F1200410CFAF}">
      <text>
        <r>
          <rPr>
            <b/>
            <sz val="9"/>
            <rFont val="Tahoma"/>
            <family val="2"/>
          </rPr>
          <t>Canalyst (SK):</t>
        </r>
        <r>
          <rPr>
            <sz val="9"/>
            <rFont val="Tahoma"/>
            <family val="2"/>
          </rPr>
          <t xml:space="preserve">
Company did not reported Adjusted EBITDA for this period. Assume it use same walkthrough as historically used.</t>
        </r>
      </text>
    </comment>
    <comment ref="AS357" authorId="7" shapeId="0" xr:uid="{66A3F478-FDB8-420C-B66A-496F99FE10A0}">
      <text>
        <r>
          <rPr>
            <b/>
            <sz val="9"/>
            <rFont val="Tahoma"/>
            <family val="2"/>
          </rPr>
          <t xml:space="preserve">Canalyst (DL):
</t>
        </r>
        <r>
          <rPr>
            <sz val="9"/>
            <rFont val="Tahoma"/>
            <family val="2"/>
          </rPr>
          <t>Company did not reported Adjusted EBITDA for this period. Assume it use same walkthrough as historically used.</t>
        </r>
      </text>
    </comment>
    <comment ref="AU357" authorId="7" shapeId="0" xr:uid="{F8D10112-FE01-4E50-B618-53A556D1BE90}">
      <text>
        <r>
          <rPr>
            <b/>
            <sz val="9"/>
            <rFont val="Tahoma"/>
            <family val="2"/>
          </rPr>
          <t xml:space="preserve">Canalyst (DL):
</t>
        </r>
        <r>
          <rPr>
            <sz val="9"/>
            <rFont val="Tahoma"/>
            <family val="2"/>
          </rPr>
          <t>Company did not reported Adjusted EBITDA for this period. Assume it use same walkthrough as historically used.</t>
        </r>
      </text>
    </comment>
    <comment ref="AV357" authorId="8" shapeId="0" xr:uid="{5ED8CED3-C925-4872-9BEE-F5D3829FA587}">
      <text>
        <r>
          <rPr>
            <b/>
            <sz val="9"/>
            <rFont val="Tahoma"/>
            <family val="2"/>
          </rPr>
          <t>Canalyst (SK):</t>
        </r>
        <r>
          <rPr>
            <sz val="9"/>
            <rFont val="Tahoma"/>
            <family val="2"/>
          </rPr>
          <t xml:space="preserve">
Company did not reported Adjusted EBITDA for this period. Assume it use same walkthrough as historically used.</t>
        </r>
      </text>
    </comment>
    <comment ref="AW357" authorId="8" shapeId="0" xr:uid="{344768C6-7F2A-47A4-8AB4-35F9F4BCFC97}">
      <text>
        <r>
          <rPr>
            <b/>
            <sz val="9"/>
            <rFont val="Tahoma"/>
            <family val="2"/>
          </rPr>
          <t>Canalyst (SK):</t>
        </r>
        <r>
          <rPr>
            <sz val="9"/>
            <rFont val="Tahoma"/>
            <family val="2"/>
          </rPr>
          <t xml:space="preserve">
Company did not reported Adjusted EBITDA for this period. Assume it use same walkthrough as historically used.</t>
        </r>
      </text>
    </comment>
    <comment ref="AS358" authorId="7" shapeId="0" xr:uid="{E780CC08-C895-456A-AAC0-12E8F1D73F95}">
      <text>
        <r>
          <rPr>
            <b/>
            <sz val="9"/>
            <rFont val="Tahoma"/>
            <family val="2"/>
          </rPr>
          <t xml:space="preserve">Canalyst (DL):
</t>
        </r>
        <r>
          <rPr>
            <sz val="9"/>
            <rFont val="Tahoma"/>
            <family val="2"/>
          </rPr>
          <t>Company did not reported Adjusted EBITDA for this period. Assume it use same walkthrough as historically used.</t>
        </r>
      </text>
    </comment>
    <comment ref="AU358" authorId="7" shapeId="0" xr:uid="{E966D7EB-074A-4761-9278-D93EF8A3C7D7}">
      <text>
        <r>
          <rPr>
            <b/>
            <sz val="9"/>
            <rFont val="Tahoma"/>
            <family val="2"/>
          </rPr>
          <t xml:space="preserve">Canalyst (DL):
</t>
        </r>
        <r>
          <rPr>
            <sz val="9"/>
            <rFont val="Tahoma"/>
            <family val="2"/>
          </rPr>
          <t>Company did not reported Adjusted EBITDA for this period. Assume it use same walkthrough as historically used.</t>
        </r>
      </text>
    </comment>
    <comment ref="AV358" authorId="8" shapeId="0" xr:uid="{6873E301-48AC-479C-8389-877F3F93BA6B}">
      <text>
        <r>
          <rPr>
            <b/>
            <sz val="9"/>
            <rFont val="Tahoma"/>
            <family val="2"/>
          </rPr>
          <t>Canalyst (SK):</t>
        </r>
        <r>
          <rPr>
            <sz val="9"/>
            <rFont val="Tahoma"/>
            <family val="2"/>
          </rPr>
          <t xml:space="preserve">
Company did not reported Adjusted EBITDA for this period. Assume it use same walkthrough as historically used.</t>
        </r>
      </text>
    </comment>
    <comment ref="AW358" authorId="8" shapeId="0" xr:uid="{D7F2670B-2532-43B7-A90B-B9EBE5E9158E}">
      <text>
        <r>
          <rPr>
            <b/>
            <sz val="9"/>
            <rFont val="Tahoma"/>
            <family val="2"/>
          </rPr>
          <t>Canalyst (SK):</t>
        </r>
        <r>
          <rPr>
            <sz val="9"/>
            <rFont val="Tahoma"/>
            <family val="2"/>
          </rPr>
          <t xml:space="preserve">
Company did not reported Adjusted EBITDA for this period. Assume it use same walkthrough as historically used.</t>
        </r>
      </text>
    </comment>
    <comment ref="L359" authorId="1" shapeId="0" xr:uid="{D3700C9A-ED6A-4380-99A8-B72C909E5403}">
      <text>
        <r>
          <rPr>
            <b/>
            <sz val="9"/>
            <rFont val="Tahoma"/>
            <family val="2"/>
          </rPr>
          <t>Canalyst (AA):</t>
        </r>
        <r>
          <rPr>
            <sz val="9"/>
            <rFont val="Tahoma"/>
            <family val="2"/>
          </rPr>
          <t xml:space="preserve">
not reported, assumed</t>
        </r>
      </text>
    </comment>
    <comment ref="AK503" authorId="1" shapeId="0" xr:uid="{C135E463-15A1-495B-B754-9322ABD602C5}">
      <text>
        <r>
          <rPr>
            <b/>
            <sz val="9"/>
            <rFont val="Tahoma"/>
            <family val="2"/>
          </rPr>
          <t>Canalyst (AA):</t>
        </r>
        <r>
          <rPr>
            <sz val="9"/>
            <rFont val="Tahoma"/>
            <family val="2"/>
          </rPr>
          <t xml:space="preserve">
restated, included Amortization of DVD content library due to the amortization of DVD content assets has been reclassified into "Other non-cash items" within "Cash flows from operating activities" in Q4 2019</t>
        </r>
      </text>
    </comment>
    <comment ref="AL503" authorId="1" shapeId="0" xr:uid="{DB90D6A7-BF14-4F22-B14C-2B974F81CADF}">
      <text>
        <r>
          <rPr>
            <b/>
            <sz val="9"/>
            <rFont val="Tahoma"/>
            <family val="2"/>
          </rPr>
          <t>Canalyst (AA):</t>
        </r>
        <r>
          <rPr>
            <sz val="9"/>
            <rFont val="Tahoma"/>
            <family val="2"/>
          </rPr>
          <t xml:space="preserve">
restated, included Amortization of DVD content library due to the amortization of DVD content assets has been reclassified into "Other non-cash items" within "Cash flows from operating activities" in Q4 2019</t>
        </r>
      </text>
    </comment>
    <comment ref="AM503" authorId="1" shapeId="0" xr:uid="{40635744-0D29-41D2-9B33-FDF0967A202E}">
      <text>
        <r>
          <rPr>
            <b/>
            <sz val="9"/>
            <rFont val="Tahoma"/>
            <family val="2"/>
          </rPr>
          <t>Canalyst (AA):</t>
        </r>
        <r>
          <rPr>
            <sz val="9"/>
            <rFont val="Tahoma"/>
            <family val="2"/>
          </rPr>
          <t xml:space="preserve">
restated, included Amortization of DVD content library due to the amortization of DVD content assets has been reclassified into "Other non-cash items" within "Cash flows from operating activities" in Q4 2019</t>
        </r>
      </text>
    </comment>
    <comment ref="AK559" authorId="1" shapeId="0" xr:uid="{68881531-B812-4B07-86B6-C2C936298473}">
      <text>
        <r>
          <rPr>
            <b/>
            <sz val="9"/>
            <rFont val="Tahoma"/>
            <family val="2"/>
          </rPr>
          <t>Canalyst (AA):</t>
        </r>
        <r>
          <rPr>
            <sz val="9"/>
            <rFont val="Tahoma"/>
            <family val="2"/>
          </rPr>
          <t xml:space="preserve">
restated, the amortization of DVD content assets has been reclassified into "Other non-cash items" in Q4 2019</t>
        </r>
      </text>
    </comment>
    <comment ref="AL559" authorId="1" shapeId="0" xr:uid="{220BA4EA-121E-4617-B492-4EF47EE8D7BE}">
      <text>
        <r>
          <rPr>
            <b/>
            <sz val="9"/>
            <rFont val="Tahoma"/>
            <family val="2"/>
          </rPr>
          <t>Canalyst (AA):</t>
        </r>
        <r>
          <rPr>
            <sz val="9"/>
            <rFont val="Tahoma"/>
            <family val="2"/>
          </rPr>
          <t xml:space="preserve">
restated, the amortization of DVD content assets has been reclassified into "Other non-cash items" in Q4 2019</t>
        </r>
      </text>
    </comment>
    <comment ref="AM559" authorId="1" shapeId="0" xr:uid="{AB8BE928-FCC9-4ABD-90C5-A64C484A421D}">
      <text>
        <r>
          <rPr>
            <b/>
            <sz val="9"/>
            <rFont val="Tahoma"/>
            <family val="2"/>
          </rPr>
          <t>Canalyst (AA):</t>
        </r>
        <r>
          <rPr>
            <sz val="9"/>
            <rFont val="Tahoma"/>
            <family val="2"/>
          </rPr>
          <t xml:space="preserve">
restated, the amortization of DVD content assets has been reclassified into "Other non-cash items" in Q4 2019</t>
        </r>
      </text>
    </comment>
    <comment ref="AN559" authorId="1" shapeId="0" xr:uid="{C0D11A79-A244-4CCA-9F62-F5900EF076CC}">
      <text>
        <r>
          <rPr>
            <b/>
            <sz val="9"/>
            <rFont val="Tahoma"/>
            <family val="2"/>
          </rPr>
          <t>Canalyst (AA):</t>
        </r>
        <r>
          <rPr>
            <sz val="9"/>
            <rFont val="Tahoma"/>
            <family val="2"/>
          </rPr>
          <t xml:space="preserve">
restated, the amortization of DVD content assets has been reclassified into "Other non-cash items" in Q4 2019</t>
        </r>
      </text>
    </comment>
    <comment ref="AO559" authorId="1" shapeId="0" xr:uid="{EB03648F-D92D-47DA-A3AB-F2B31F117459}">
      <text>
        <r>
          <rPr>
            <b/>
            <sz val="9"/>
            <rFont val="Tahoma"/>
            <family val="2"/>
          </rPr>
          <t>Canalyst (AA):</t>
        </r>
        <r>
          <rPr>
            <sz val="9"/>
            <rFont val="Tahoma"/>
            <family val="2"/>
          </rPr>
          <t xml:space="preserve">
restated, the amortization of DVD content assets has been reclassified into "Other non-cash items" in Q4 2019</t>
        </r>
      </text>
    </comment>
    <comment ref="AO578" authorId="4" shapeId="0" xr:uid="{00000000-0006-0000-0100-00003D000000}">
      <text>
        <r>
          <rPr>
            <b/>
            <sz val="9"/>
            <rFont val="Tahoma"/>
            <family val="2"/>
          </rPr>
          <t>Canalyst (DL):</t>
        </r>
        <r>
          <rPr>
            <sz val="9"/>
            <rFont val="Tahoma"/>
            <family val="2"/>
          </rPr>
          <t xml:space="preserve">
combined to purchase of other assets</t>
        </r>
      </text>
    </comment>
    <comment ref="A645" authorId="2" shapeId="0" xr:uid="{B30EE367-B137-426F-B3EE-E66735E347A5}">
      <text>
        <r>
          <rPr>
            <b/>
            <sz val="9"/>
            <rFont val="Tahoma"/>
            <family val="2"/>
          </rPr>
          <t>Canalyst (LZ):</t>
        </r>
        <r>
          <rPr>
            <sz val="9"/>
            <rFont val="Tahoma"/>
            <family val="2"/>
          </rPr>
          <t xml:space="preserve">
Does not include addition to content library as company report is a part of operating cash flow adjustment</t>
        </r>
      </text>
    </comment>
    <comment ref="AK654" authorId="0" shapeId="0" xr:uid="{00000000-0006-0000-0100-00003E000000}">
      <text>
        <r>
          <rPr>
            <b/>
            <sz val="9"/>
            <rFont val="Tahoma"/>
            <family val="2"/>
          </rPr>
          <t>Canalyst (PA):</t>
        </r>
        <r>
          <rPr>
            <sz val="9"/>
            <rFont val="Tahoma"/>
            <family val="2"/>
          </rPr>
          <t xml:space="preserve">
From Q1 2019, Netflix has categorized all current content assets into non-current content assets.</t>
        </r>
      </text>
    </comment>
    <comment ref="AN658" authorId="2" shapeId="0" xr:uid="{62DABDF7-E58E-40AC-A1F6-255E8708AED3}">
      <text>
        <r>
          <rPr>
            <b/>
            <sz val="9"/>
            <rFont val="Tahoma"/>
            <family val="2"/>
          </rPr>
          <t>Canalyst (LZ):</t>
        </r>
        <r>
          <rPr>
            <sz val="9"/>
            <rFont val="Tahoma"/>
            <family val="2"/>
          </rPr>
          <t xml:space="preserve">
Adjusted for restricted cash</t>
        </r>
      </text>
    </comment>
    <comment ref="AO658" authorId="2" shapeId="0" xr:uid="{4E6AC888-7E9D-4DE8-9BAD-5A38CA5B2E69}">
      <text>
        <r>
          <rPr>
            <b/>
            <sz val="9"/>
            <rFont val="Tahoma"/>
            <family val="2"/>
          </rPr>
          <t>Canalyst (LZ):</t>
        </r>
        <r>
          <rPr>
            <sz val="9"/>
            <rFont val="Tahoma"/>
            <family val="2"/>
          </rPr>
          <t xml:space="preserve">
Adjusted for restricted cash</t>
        </r>
      </text>
    </comment>
    <comment ref="AP658" authorId="2" shapeId="0" xr:uid="{DF3D3A61-6322-463E-B0E3-4F3F0F7569F1}">
      <text>
        <r>
          <rPr>
            <b/>
            <sz val="9"/>
            <rFont val="Tahoma"/>
            <family val="2"/>
          </rPr>
          <t>Canalyst (LZ):</t>
        </r>
        <r>
          <rPr>
            <sz val="9"/>
            <rFont val="Tahoma"/>
            <family val="2"/>
          </rPr>
          <t xml:space="preserve">
Adjusted for restricted cash</t>
        </r>
      </text>
    </comment>
    <comment ref="AQ658" authorId="2" shapeId="0" xr:uid="{4106F87E-DE85-49F1-9A6B-3DBC395D972A}">
      <text>
        <r>
          <rPr>
            <b/>
            <sz val="9"/>
            <rFont val="Tahoma"/>
            <family val="2"/>
          </rPr>
          <t>Canalyst (LZ):</t>
        </r>
        <r>
          <rPr>
            <sz val="9"/>
            <rFont val="Tahoma"/>
            <family val="2"/>
          </rPr>
          <t xml:space="preserve">
Adjusted for restricted cash</t>
        </r>
      </text>
    </comment>
    <comment ref="AR658" authorId="2" shapeId="0" xr:uid="{CC933C11-3EE0-496E-BCAF-98198760F840}">
      <text>
        <r>
          <rPr>
            <b/>
            <sz val="9"/>
            <rFont val="Tahoma"/>
            <family val="2"/>
            <charset val="1"/>
          </rPr>
          <t>Canalyst (LZ):</t>
        </r>
        <r>
          <rPr>
            <sz val="9"/>
            <rFont val="Tahoma"/>
            <family val="2"/>
            <charset val="1"/>
          </rPr>
          <t xml:space="preserve">
Adjusted for restricted cash</t>
        </r>
      </text>
    </comment>
    <comment ref="AS658" authorId="2" shapeId="0" xr:uid="{04DB3AB4-8D0E-4816-A9AD-A8612A40B952}">
      <text>
        <r>
          <rPr>
            <b/>
            <sz val="9"/>
            <rFont val="Tahoma"/>
            <family val="2"/>
            <charset val="1"/>
          </rPr>
          <t>Canalyst (DL):</t>
        </r>
        <r>
          <rPr>
            <sz val="9"/>
            <rFont val="Tahoma"/>
            <family val="2"/>
            <charset val="1"/>
          </rPr>
          <t xml:space="preserve">
Adjusted for restricted cash</t>
        </r>
      </text>
    </comment>
    <comment ref="AT658" authorId="2" shapeId="0" xr:uid="{0927A6F0-880B-40A5-B252-3837364739D6}">
      <text>
        <r>
          <rPr>
            <b/>
            <sz val="9"/>
            <rFont val="Tahoma"/>
            <family val="2"/>
            <charset val="1"/>
          </rPr>
          <t>Canalyst (DL):</t>
        </r>
        <r>
          <rPr>
            <sz val="9"/>
            <rFont val="Tahoma"/>
            <family val="2"/>
            <charset val="1"/>
          </rPr>
          <t xml:space="preserve">
Adjusted for restricted cash</t>
        </r>
      </text>
    </comment>
    <comment ref="AU658" authorId="2" shapeId="0" xr:uid="{25F1CD5A-3CEE-49C6-8CE5-9ADC230D2086}">
      <text>
        <r>
          <rPr>
            <b/>
            <sz val="9"/>
            <rFont val="Tahoma"/>
            <family val="2"/>
            <charset val="1"/>
          </rPr>
          <t>Canalyst (DL):</t>
        </r>
        <r>
          <rPr>
            <sz val="9"/>
            <rFont val="Tahoma"/>
            <family val="2"/>
            <charset val="1"/>
          </rPr>
          <t xml:space="preserve">
Adjusted for restricted cash</t>
        </r>
      </text>
    </comment>
    <comment ref="AV658" authorId="2" shapeId="0" xr:uid="{15817D51-4862-41B8-A0AB-E1B95DB7F542}">
      <text>
        <r>
          <rPr>
            <b/>
            <sz val="9"/>
            <rFont val="Tahoma"/>
            <family val="2"/>
            <charset val="1"/>
          </rPr>
          <t>Canalyst (DL):</t>
        </r>
        <r>
          <rPr>
            <sz val="9"/>
            <rFont val="Tahoma"/>
            <family val="2"/>
            <charset val="1"/>
          </rPr>
          <t xml:space="preserve">
Adjusted for restricted cash</t>
        </r>
      </text>
    </comment>
    <comment ref="AW658" authorId="2" shapeId="0" xr:uid="{15DEB93F-6C37-4201-A904-950ECE5D2E19}">
      <text>
        <r>
          <rPr>
            <b/>
            <sz val="9"/>
            <rFont val="Tahoma"/>
            <family val="2"/>
            <charset val="1"/>
          </rPr>
          <t>Canalyst (DL):</t>
        </r>
        <r>
          <rPr>
            <sz val="9"/>
            <rFont val="Tahoma"/>
            <family val="2"/>
            <charset val="1"/>
          </rPr>
          <t xml:space="preserve">
Adjusted for restricted cash</t>
        </r>
      </text>
    </comment>
    <comment ref="AJ662" authorId="0" shapeId="0" xr:uid="{00000000-0006-0000-0100-00003F000000}">
      <text>
        <r>
          <rPr>
            <b/>
            <sz val="9"/>
            <rFont val="Tahoma"/>
            <family val="2"/>
          </rPr>
          <t>Canalyst (PA):</t>
        </r>
        <r>
          <rPr>
            <sz val="9"/>
            <rFont val="Tahoma"/>
            <family val="2"/>
          </rPr>
          <t xml:space="preserve">
The break-down of content assets can be found in the key metrics section for periods prior to Q1 2019. However, that breakdown includes current as well as non-current content assets. From Q1 2019, Netflix has categorized all current content assets into non-current content assets .</t>
        </r>
      </text>
    </comment>
    <comment ref="AN667" authorId="1" shapeId="0" xr:uid="{37E2DE59-995E-4FD8-8A08-60D3770D591D}">
      <text>
        <r>
          <rPr>
            <b/>
            <sz val="9"/>
            <rFont val="Tahoma"/>
            <family val="2"/>
          </rPr>
          <t>Canalyst (AA):</t>
        </r>
        <r>
          <rPr>
            <sz val="9"/>
            <rFont val="Tahoma"/>
            <family val="2"/>
          </rPr>
          <t xml:space="preserve">
DVD content assets have been reclassified from "Non-current content assets, net" to "Other non-current assets" </t>
        </r>
      </text>
    </comment>
    <comment ref="AO667" authorId="1" shapeId="0" xr:uid="{2D2ADD7C-91D3-4B9D-B466-6E4A3782356A}">
      <text>
        <r>
          <rPr>
            <b/>
            <sz val="9"/>
            <rFont val="Tahoma"/>
            <family val="2"/>
          </rPr>
          <t>Canalyst (AA):</t>
        </r>
        <r>
          <rPr>
            <sz val="9"/>
            <rFont val="Tahoma"/>
            <family val="2"/>
          </rPr>
          <t xml:space="preserve">
DVD content assets have been reclassified from "Non-current content assets, net" to "Other non-current assets" </t>
        </r>
      </text>
    </comment>
    <comment ref="AK668" authorId="0" shapeId="0" xr:uid="{00000000-0006-0000-0100-00004C000000}">
      <text>
        <r>
          <rPr>
            <b/>
            <sz val="9"/>
            <rFont val="Tahoma"/>
            <family val="2"/>
          </rPr>
          <t>Canalyst (PA):</t>
        </r>
        <r>
          <rPr>
            <sz val="9"/>
            <rFont val="Tahoma"/>
            <family val="2"/>
          </rPr>
          <t xml:space="preserve">
From Q1 2019, Netflix has categorized all current content assets into non-current content assets.</t>
        </r>
      </text>
    </comment>
    <comment ref="AE671" authorId="5" shapeId="0" xr:uid="{00000000-0006-0000-0100-00004D000000}">
      <text>
        <r>
          <rPr>
            <b/>
            <sz val="9"/>
            <rFont val="Tahoma"/>
            <family val="2"/>
          </rPr>
          <t>Canalyst (JK):</t>
        </r>
        <r>
          <rPr>
            <sz val="9"/>
            <rFont val="Tahoma"/>
            <family val="2"/>
          </rPr>
          <t xml:space="preserve">
Reported as 4.4mm in restricted cash embedded in other non-current assets.</t>
        </r>
      </text>
    </comment>
    <comment ref="AO672" authorId="2" shapeId="0" xr:uid="{6D79A53E-E21E-4B02-9C31-E1D8604230B9}">
      <text>
        <r>
          <rPr>
            <b/>
            <sz val="9"/>
            <rFont val="Tahoma"/>
            <family val="2"/>
          </rPr>
          <t>Canalyst (LZ):</t>
        </r>
        <r>
          <rPr>
            <sz val="9"/>
            <rFont val="Tahoma"/>
            <family val="2"/>
          </rPr>
          <t xml:space="preserve">
Adjusted for restricted cash</t>
        </r>
      </text>
    </comment>
    <comment ref="AP672" authorId="2" shapeId="0" xr:uid="{F5BB660A-AB7E-4C00-9F15-0664514D0D18}">
      <text>
        <r>
          <rPr>
            <b/>
            <sz val="9"/>
            <rFont val="Tahoma"/>
            <family val="2"/>
          </rPr>
          <t>Canalyst (LZ):</t>
        </r>
        <r>
          <rPr>
            <sz val="9"/>
            <rFont val="Tahoma"/>
            <family val="2"/>
          </rPr>
          <t xml:space="preserve">
Adjusted for restricted cash</t>
        </r>
      </text>
    </comment>
    <comment ref="AQ672" authorId="2" shapeId="0" xr:uid="{46616ECE-09AA-4306-8065-C4441CFFDF31}">
      <text>
        <r>
          <rPr>
            <b/>
            <sz val="9"/>
            <rFont val="Tahoma"/>
            <family val="2"/>
          </rPr>
          <t>Canalyst (LZ):</t>
        </r>
        <r>
          <rPr>
            <sz val="9"/>
            <rFont val="Tahoma"/>
            <family val="2"/>
          </rPr>
          <t xml:space="preserve">
Adjusted for restricted cash</t>
        </r>
      </text>
    </comment>
    <comment ref="AR672" authorId="2" shapeId="0" xr:uid="{B4032931-AF91-4E25-AE8E-D3DCBA39F9BC}">
      <text>
        <r>
          <rPr>
            <b/>
            <sz val="9"/>
            <rFont val="Tahoma"/>
            <family val="2"/>
          </rPr>
          <t>Canalyst (LZ):</t>
        </r>
        <r>
          <rPr>
            <sz val="9"/>
            <rFont val="Tahoma"/>
            <family val="2"/>
          </rPr>
          <t xml:space="preserve">
Adjusted for restricted cash</t>
        </r>
      </text>
    </comment>
    <comment ref="AS672" authorId="2" shapeId="0" xr:uid="{1B7DDB53-2462-47DA-BF37-65B68114AFE4}">
      <text>
        <r>
          <rPr>
            <b/>
            <sz val="9"/>
            <rFont val="Tahoma"/>
            <family val="2"/>
            <charset val="1"/>
          </rPr>
          <t>Canalyst (DL):</t>
        </r>
        <r>
          <rPr>
            <sz val="9"/>
            <rFont val="Tahoma"/>
            <family val="2"/>
            <charset val="1"/>
          </rPr>
          <t xml:space="preserve">
Adjusted for restricted cash</t>
        </r>
      </text>
    </comment>
    <comment ref="AT672" authorId="2" shapeId="0" xr:uid="{CE8D5D4A-8C37-4F90-AA93-A65B9F41C78E}">
      <text>
        <r>
          <rPr>
            <b/>
            <sz val="9"/>
            <rFont val="Tahoma"/>
            <family val="2"/>
            <charset val="1"/>
          </rPr>
          <t>Canalyst (DL):</t>
        </r>
        <r>
          <rPr>
            <sz val="9"/>
            <rFont val="Tahoma"/>
            <family val="2"/>
            <charset val="1"/>
          </rPr>
          <t xml:space="preserve">
Adjusted for restricted cash</t>
        </r>
      </text>
    </comment>
    <comment ref="AU672" authorId="2" shapeId="0" xr:uid="{8BFA1399-457E-4931-A9A0-E14B2DE2AD3D}">
      <text>
        <r>
          <rPr>
            <b/>
            <sz val="9"/>
            <rFont val="Tahoma"/>
            <family val="2"/>
            <charset val="1"/>
          </rPr>
          <t>Canalyst (DL):</t>
        </r>
        <r>
          <rPr>
            <sz val="9"/>
            <rFont val="Tahoma"/>
            <family val="2"/>
            <charset val="1"/>
          </rPr>
          <t xml:space="preserve">
Adjusted for restricted cash</t>
        </r>
      </text>
    </comment>
    <comment ref="AV672" authorId="2" shapeId="0" xr:uid="{383B1BE8-0F25-4A55-B3DB-2B403BDA8DC4}">
      <text>
        <r>
          <rPr>
            <b/>
            <sz val="9"/>
            <rFont val="Tahoma"/>
            <family val="2"/>
            <charset val="1"/>
          </rPr>
          <t>Canalyst (DL):</t>
        </r>
        <r>
          <rPr>
            <sz val="9"/>
            <rFont val="Tahoma"/>
            <family val="2"/>
            <charset val="1"/>
          </rPr>
          <t xml:space="preserve">
Adjusted for restricted cash</t>
        </r>
      </text>
    </comment>
    <comment ref="AW672" authorId="2" shapeId="0" xr:uid="{C5C5825E-1D17-4B64-BD4B-F8CE1D03B8B9}">
      <text>
        <r>
          <rPr>
            <b/>
            <sz val="9"/>
            <rFont val="Tahoma"/>
            <family val="2"/>
            <charset val="1"/>
          </rPr>
          <t>Canalyst (DL):</t>
        </r>
        <r>
          <rPr>
            <sz val="9"/>
            <rFont val="Tahoma"/>
            <family val="2"/>
            <charset val="1"/>
          </rPr>
          <t xml:space="preserve">
Adjusted for restricted cash</t>
        </r>
      </text>
    </comment>
    <comment ref="AK685" authorId="4" shapeId="0" xr:uid="{00000000-0006-0000-0100-000050000000}">
      <text>
        <r>
          <rPr>
            <b/>
            <sz val="9"/>
            <rFont val="Tahoma"/>
            <family val="2"/>
            <charset val="1"/>
          </rPr>
          <t>Canalyst (DL):</t>
        </r>
        <r>
          <rPr>
            <sz val="9"/>
            <rFont val="Tahoma"/>
            <family val="2"/>
            <charset val="1"/>
          </rPr>
          <t xml:space="preserve">
contains 122.498 current operating lease liabilities</t>
        </r>
      </text>
    </comment>
    <comment ref="AL685" authorId="4" shapeId="0" xr:uid="{00000000-0006-0000-0100-000051000000}">
      <text>
        <r>
          <rPr>
            <b/>
            <sz val="9"/>
            <rFont val="Tahoma"/>
            <family val="2"/>
            <charset val="1"/>
          </rPr>
          <t>Canalyst (DL):</t>
        </r>
        <r>
          <rPr>
            <sz val="9"/>
            <rFont val="Tahoma"/>
            <family val="2"/>
            <charset val="1"/>
          </rPr>
          <t xml:space="preserve">
contains 137.662 current operating lease liabilities</t>
        </r>
      </text>
    </comment>
    <comment ref="AM685" authorId="4" shapeId="0" xr:uid="{00000000-0006-0000-0100-000052000000}">
      <text>
        <r>
          <rPr>
            <b/>
            <sz val="9"/>
            <rFont val="Tahoma"/>
            <family val="2"/>
            <charset val="1"/>
          </rPr>
          <t>Canalyst (DL):</t>
        </r>
        <r>
          <rPr>
            <sz val="9"/>
            <rFont val="Tahoma"/>
            <family val="2"/>
            <charset val="1"/>
          </rPr>
          <t xml:space="preserve">
contains 160.941 current operating lease liabilities</t>
        </r>
      </text>
    </comment>
    <comment ref="AN685" authorId="4" shapeId="0" xr:uid="{0B421561-1C98-4B94-9623-9DC61F96F4E3}">
      <text>
        <r>
          <rPr>
            <b/>
            <sz val="9"/>
            <rFont val="Tahoma"/>
            <family val="2"/>
            <charset val="1"/>
          </rPr>
          <t>Canalyst (DL):</t>
        </r>
        <r>
          <rPr>
            <sz val="9"/>
            <rFont val="Tahoma"/>
            <family val="2"/>
            <charset val="1"/>
          </rPr>
          <t xml:space="preserve">
contains 190.622 current operating lease liabilities</t>
        </r>
      </text>
    </comment>
    <comment ref="AO685" authorId="4" shapeId="0" xr:uid="{18E77A79-C052-4776-8618-CB7033786F0C}">
      <text>
        <r>
          <rPr>
            <b/>
            <sz val="9"/>
            <rFont val="Tahoma"/>
            <family val="2"/>
            <charset val="1"/>
          </rPr>
          <t>Canalyst (DL):</t>
        </r>
        <r>
          <rPr>
            <sz val="9"/>
            <rFont val="Tahoma"/>
            <family val="2"/>
            <charset val="1"/>
          </rPr>
          <t xml:space="preserve">
contains 190.622 current operating lease liabilities</t>
        </r>
      </text>
    </comment>
    <comment ref="AK694" authorId="4" shapeId="0" xr:uid="{00000000-0006-0000-0100-000053000000}">
      <text>
        <r>
          <rPr>
            <b/>
            <sz val="9"/>
            <rFont val="Tahoma"/>
            <family val="2"/>
            <charset val="1"/>
          </rPr>
          <t>Canalyst (DL):</t>
        </r>
        <r>
          <rPr>
            <sz val="9"/>
            <rFont val="Tahoma"/>
            <family val="2"/>
            <charset val="1"/>
          </rPr>
          <t xml:space="preserve">
contains 765.024 non-current lease liabilities</t>
        </r>
      </text>
    </comment>
    <comment ref="AL694" authorId="4" shapeId="0" xr:uid="{00000000-0006-0000-0100-000054000000}">
      <text>
        <r>
          <rPr>
            <b/>
            <sz val="9"/>
            <rFont val="Tahoma"/>
            <family val="2"/>
            <charset val="1"/>
          </rPr>
          <t>Canalyst (DL):</t>
        </r>
        <r>
          <rPr>
            <sz val="9"/>
            <rFont val="Tahoma"/>
            <family val="2"/>
            <charset val="1"/>
          </rPr>
          <t xml:space="preserve">
contains 946.320 non-current operating lease liabilities</t>
        </r>
      </text>
    </comment>
    <comment ref="AM694" authorId="4" shapeId="0" xr:uid="{00000000-0006-0000-0100-000055000000}">
      <text>
        <r>
          <rPr>
            <b/>
            <sz val="9"/>
            <rFont val="Tahoma"/>
            <family val="2"/>
            <charset val="1"/>
          </rPr>
          <t>Canalyst (DL):</t>
        </r>
        <r>
          <rPr>
            <sz val="9"/>
            <rFont val="Tahoma"/>
            <family val="2"/>
            <charset val="1"/>
          </rPr>
          <t xml:space="preserve">
contains 952.678 non-current operating lease liabilities</t>
        </r>
      </text>
    </comment>
    <comment ref="AN694" authorId="4" shapeId="0" xr:uid="{18F29938-59D4-4B5B-9215-92D30881B559}">
      <text>
        <r>
          <rPr>
            <b/>
            <sz val="9"/>
            <rFont val="Tahoma"/>
            <family val="2"/>
            <charset val="1"/>
          </rPr>
          <t>Canalyst (DL):</t>
        </r>
        <r>
          <rPr>
            <sz val="9"/>
            <rFont val="Tahoma"/>
            <family val="2"/>
            <charset val="1"/>
          </rPr>
          <t xml:space="preserve">
contains 1422.612 non-current operating lease liabilities</t>
        </r>
      </text>
    </comment>
    <comment ref="AO694" authorId="4" shapeId="0" xr:uid="{CFDF2C31-03CB-4DC2-8090-9D9082AD237E}">
      <text>
        <r>
          <rPr>
            <b/>
            <sz val="9"/>
            <rFont val="Tahoma"/>
            <family val="2"/>
            <charset val="1"/>
          </rPr>
          <t>Canalyst (DL):</t>
        </r>
        <r>
          <rPr>
            <sz val="9"/>
            <rFont val="Tahoma"/>
            <family val="2"/>
            <charset val="1"/>
          </rPr>
          <t xml:space="preserve">
contains 1422.612 non-current operating lease liabilities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Canalyst (AA)</author>
    <author>Canalyst (BP)</author>
    <author>Canalyst (IL)</author>
    <author>Canalyst (DL)</author>
    <author>Canalyst (PA)</author>
  </authors>
  <commentList>
    <comment ref="AJ23" authorId="0" shapeId="0" xr:uid="{DFF00E58-D8F0-45BF-874C-5E96D270740A}">
      <text>
        <r>
          <rPr>
            <b/>
            <sz val="9"/>
            <rFont val="Tahoma"/>
            <family val="2"/>
          </rPr>
          <t>Canalyst (AA):</t>
        </r>
        <r>
          <rPr>
            <sz val="9"/>
            <rFont val="Tahoma"/>
            <family val="2"/>
          </rPr>
          <t xml:space="preserve">
of which approximately 6,900 supported streaming segments</t>
        </r>
      </text>
    </comment>
    <comment ref="A38" authorId="1" shapeId="0" xr:uid="{00000000-0006-0000-0100-000031000000}">
      <text>
        <r>
          <rPr>
            <b/>
            <sz val="9"/>
            <rFont val="Tahoma"/>
            <family val="2"/>
          </rPr>
          <t>Canalyst (BP):</t>
        </r>
        <r>
          <rPr>
            <sz val="9"/>
            <rFont val="Tahoma"/>
            <family val="2"/>
          </rPr>
          <t xml:space="preserve">
Reported COGS includes amortization charges.</t>
        </r>
      </text>
    </comment>
    <comment ref="F66" authorId="2" shapeId="0" xr:uid="{00000000-0006-0000-0100-000032000000}">
      <text>
        <r>
          <rPr>
            <b/>
            <sz val="9"/>
            <rFont val="Tahoma"/>
            <family val="2"/>
          </rPr>
          <t>Canalyst (IL):</t>
        </r>
        <r>
          <rPr>
            <sz val="9"/>
            <rFont val="Tahoma"/>
            <family val="2"/>
          </rPr>
          <t xml:space="preserve">
Calculation based on  EOP membership instead of average membership in period.</t>
        </r>
      </text>
    </comment>
    <comment ref="V82" authorId="3" shapeId="0" xr:uid="{00000000-0006-0000-0100-000033000000}">
      <text>
        <r>
          <rPr>
            <b/>
            <sz val="9"/>
            <rFont val="Tahoma"/>
            <family val="2"/>
          </rPr>
          <t>Canalyst (DL):</t>
        </r>
        <r>
          <rPr>
            <sz val="9"/>
            <rFont val="Tahoma"/>
            <family val="2"/>
          </rPr>
          <t xml:space="preserve">
Not reported prior to this period</t>
        </r>
      </text>
    </comment>
    <comment ref="AK82" authorId="4" shapeId="0" xr:uid="{00000000-0006-0000-0100-000034000000}">
      <text>
        <r>
          <rPr>
            <b/>
            <sz val="9"/>
            <rFont val="Tahoma"/>
            <family val="2"/>
          </rPr>
          <t>Canalyst (PA):</t>
        </r>
        <r>
          <rPr>
            <sz val="9"/>
            <rFont val="Tahoma"/>
            <family val="2"/>
          </rPr>
          <t xml:space="preserve">
From Q1 2019, Netflix has categorized all current content assets into non-current content assets. The break-down of content assets can be found in the balance sheet starting Q1 2019</t>
        </r>
      </text>
    </comment>
    <comment ref="A89" authorId="4" shapeId="0" xr:uid="{00000000-0006-0000-0100-000035000000}">
      <text>
        <r>
          <rPr>
            <b/>
            <sz val="9"/>
            <rFont val="Tahoma"/>
            <family val="2"/>
          </rPr>
          <t>Canalyst (PA):</t>
        </r>
        <r>
          <rPr>
            <sz val="9"/>
            <rFont val="Tahoma"/>
            <family val="2"/>
          </rPr>
          <t xml:space="preserve">
Includes current and  non-current content assets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Canalyst (CC)</author>
    <author>Canalyst (DL)</author>
    <author>Canalyst(TM)</author>
  </authors>
  <commentList>
    <comment ref="A4" authorId="0" shapeId="0" xr:uid="{00000000-0006-0000-0200-000001000000}">
      <text>
        <r>
          <rPr>
            <b/>
            <sz val="9"/>
            <rFont val="Tahoma"/>
            <family val="2"/>
          </rPr>
          <t>Canalyst:</t>
        </r>
        <r>
          <rPr>
            <sz val="9"/>
            <rFont val="Tahoma"/>
            <family val="2"/>
          </rPr>
          <t xml:space="preserve">
Sort Largest to Smallest to return to default.</t>
        </r>
      </text>
    </comment>
    <comment ref="H6" authorId="1" shapeId="0" xr:uid="{A532A77D-D575-426C-97B7-A69E78E5449F}">
      <text>
        <r>
          <rPr>
            <b/>
            <sz val="9"/>
            <rFont val="Tahoma"/>
            <family val="2"/>
          </rPr>
          <t>Canalyst (DL):</t>
        </r>
        <r>
          <rPr>
            <sz val="9"/>
            <rFont val="Tahoma"/>
            <family val="2"/>
          </rPr>
          <t xml:space="preserve">
20% or slightly better</t>
        </r>
      </text>
    </comment>
    <comment ref="I6" authorId="1" shapeId="0" xr:uid="{E518BB5B-571F-41E9-B4AE-95F51F77540E}">
      <text>
        <r>
          <rPr>
            <b/>
            <sz val="9"/>
            <rFont val="Tahoma"/>
            <family val="2"/>
          </rPr>
          <t>Canalyst (DL):</t>
        </r>
        <r>
          <rPr>
            <sz val="9"/>
            <rFont val="Tahoma"/>
            <family val="2"/>
          </rPr>
          <t xml:space="preserve">
20% or slightly better</t>
        </r>
      </text>
    </comment>
    <comment ref="J211" authorId="2" shapeId="0" xr:uid="{00000000-0006-0000-0200-000002000000}">
      <text>
        <r>
          <rPr>
            <b/>
            <sz val="9"/>
            <rFont val="Tahoma"/>
            <family val="2"/>
          </rPr>
          <t xml:space="preserve">Canalyst (TM):
</t>
        </r>
        <r>
          <rPr>
            <sz val="9"/>
            <rFont val="Tahoma"/>
            <family val="2"/>
          </rPr>
          <t>1.45 mm from the US and 4.9mm internationally.</t>
        </r>
      </text>
    </comment>
  </commentList>
</comments>
</file>

<file path=xl/sharedStrings.xml><?xml version="1.0" encoding="utf-8"?>
<sst xmlns="http://schemas.openxmlformats.org/spreadsheetml/2006/main" count="1452" uniqueCount="774">
  <si>
    <t xml:space="preserve">Please contact this email for any model-specific questions: </t>
  </si>
  <si>
    <t>support@canalyst.com</t>
  </si>
  <si>
    <t>Company Model:</t>
  </si>
  <si>
    <t>Comments on Model:</t>
  </si>
  <si>
    <t xml:space="preserve">Updated: </t>
  </si>
  <si>
    <t>For:</t>
  </si>
  <si>
    <t>Consensus Data and Real-Time Stock Price:</t>
  </si>
  <si>
    <t>Bloomberg</t>
  </si>
  <si>
    <t>Real-Time Stock Price:</t>
  </si>
  <si>
    <t>Stock Price Override:</t>
  </si>
  <si>
    <t>Netflix, Inc.</t>
  </si>
  <si>
    <t>USD</t>
  </si>
  <si>
    <t>FY2009</t>
  </si>
  <si>
    <t>Domestic Streaming Revenue, mm</t>
  </si>
  <si>
    <t>International Streaming Revenue, mm</t>
  </si>
  <si>
    <t>Domestic DVD Revenue, mm</t>
  </si>
  <si>
    <t>Total Revenue, mm</t>
  </si>
  <si>
    <t>International Streaming Monthly ARPU, $/Member</t>
  </si>
  <si>
    <t>Domestic Streaming COGS, mm</t>
  </si>
  <si>
    <t>International Streaming COGS, mm</t>
  </si>
  <si>
    <t>Domestic DVD COGS, mm</t>
  </si>
  <si>
    <t>Total COGS, mm</t>
  </si>
  <si>
    <t>Domestic Streaming Marketing Expense, mm</t>
  </si>
  <si>
    <t>International Streaming Marketing Expense, mm</t>
  </si>
  <si>
    <t>Domestic DVD Marketing Expense, mm</t>
  </si>
  <si>
    <t>Total Marketing Expense, mm</t>
  </si>
  <si>
    <t>Domestic Streaming Net Contribution, mm</t>
  </si>
  <si>
    <t>International Streaming Net Contribution, mm</t>
  </si>
  <si>
    <t>Domestic DVD Net Contribution, mm</t>
  </si>
  <si>
    <t>Total Net Contribution, mm</t>
  </si>
  <si>
    <t>Additions to content library, mm</t>
  </si>
  <si>
    <t>Amortization of content library, mm</t>
  </si>
  <si>
    <t>Other additions/subtractions, mm</t>
  </si>
  <si>
    <t>Expected content library life, years</t>
  </si>
  <si>
    <t>Margin Analysis</t>
  </si>
  <si>
    <t>Domestic Streaming COGS, %</t>
  </si>
  <si>
    <t>International Streaming COGS, %</t>
  </si>
  <si>
    <t>Domestic DVD COGS, %</t>
  </si>
  <si>
    <t>COGS Margin, %</t>
  </si>
  <si>
    <t>Gross Margin, %</t>
  </si>
  <si>
    <t>Consensus Estimates - Gross Margin, %</t>
  </si>
  <si>
    <t>R&amp;D Margin, %</t>
  </si>
  <si>
    <t>Domestic Streaming Marketing, %</t>
  </si>
  <si>
    <t>International Streaming Marketing, %</t>
  </si>
  <si>
    <t>Domestic DVD Marketing, %</t>
  </si>
  <si>
    <t>S&amp;M Margin, %</t>
  </si>
  <si>
    <t>G&amp;A Margin, %</t>
  </si>
  <si>
    <t>EBITDA Margin, %</t>
  </si>
  <si>
    <t>Consensus Estimates - Adjusted EBITDA Margin, %</t>
  </si>
  <si>
    <t>Income Statement - As Reported</t>
  </si>
  <si>
    <t>Revenues</t>
  </si>
  <si>
    <t>Subscription</t>
  </si>
  <si>
    <t>Fulfillment expenses</t>
  </si>
  <si>
    <t>Cost of revenues</t>
  </si>
  <si>
    <t>Gross profit</t>
  </si>
  <si>
    <t>Marketing</t>
  </si>
  <si>
    <t>Technology and development</t>
  </si>
  <si>
    <t>General and administrative</t>
  </si>
  <si>
    <t>Total operating expenses</t>
  </si>
  <si>
    <t>Operating income</t>
  </si>
  <si>
    <t>Interest expense</t>
  </si>
  <si>
    <t>Interest and other income (expense)</t>
  </si>
  <si>
    <t>Loss on extinguishment of debt</t>
  </si>
  <si>
    <t>Income before income taxes</t>
  </si>
  <si>
    <t>Provision for income taxes</t>
  </si>
  <si>
    <t>Net income</t>
  </si>
  <si>
    <t>IS Check</t>
  </si>
  <si>
    <t>Adjusted Numbers - As Reported</t>
  </si>
  <si>
    <t>GAAP net income</t>
  </si>
  <si>
    <t>Interest and other (income) expense</t>
  </si>
  <si>
    <t>Provision (benefit) for income taxes</t>
  </si>
  <si>
    <t>D&amp;A</t>
  </si>
  <si>
    <t>SBC</t>
  </si>
  <si>
    <t>Adjusted EBITDA</t>
  </si>
  <si>
    <t>Release of tax accrual</t>
  </si>
  <si>
    <t>Foreign exchange impact</t>
  </si>
  <si>
    <t>Income tax effect</t>
  </si>
  <si>
    <t>Non-GAAP net income</t>
  </si>
  <si>
    <t>Senior Convertible Notes interest expense, net of tax</t>
  </si>
  <si>
    <t>Numerator for diluted earnings per share</t>
  </si>
  <si>
    <t>Revised Income Statement</t>
  </si>
  <si>
    <t>Net Revenue</t>
  </si>
  <si>
    <t>Gross Profit</t>
  </si>
  <si>
    <t>R&amp;D</t>
  </si>
  <si>
    <t>S&amp;M</t>
  </si>
  <si>
    <t>G&amp;A</t>
  </si>
  <si>
    <t>EBITDA</t>
  </si>
  <si>
    <t>EBIT</t>
  </si>
  <si>
    <t>Other items</t>
  </si>
  <si>
    <t>One-time item</t>
  </si>
  <si>
    <t>EBT</t>
  </si>
  <si>
    <t>Current tax</t>
  </si>
  <si>
    <t>Deferred tax</t>
  </si>
  <si>
    <t>Net Income from Continued Operation</t>
  </si>
  <si>
    <t>Discontinued Operations</t>
  </si>
  <si>
    <t>Net Income to NCI</t>
  </si>
  <si>
    <t>Earnings to Preferred and Other Securities</t>
  </si>
  <si>
    <t>Net Income to Common Shareholders</t>
  </si>
  <si>
    <t>Adjustments for Convertible Securities</t>
  </si>
  <si>
    <t>Diluted Net Income to Common Shareholders</t>
  </si>
  <si>
    <t>Non-GAAP Adjustments</t>
  </si>
  <si>
    <t>Non-GAAP Adjustments for Dilutive Securities</t>
  </si>
  <si>
    <t>Adjusted Net Income</t>
  </si>
  <si>
    <t>Current tax rate</t>
  </si>
  <si>
    <t>Deferred tax rate</t>
  </si>
  <si>
    <t>Earnings Per Share - WAB</t>
  </si>
  <si>
    <t>Earnings Per Share - WAD</t>
  </si>
  <si>
    <t>Adjusted Earnings Per Share - WAD</t>
  </si>
  <si>
    <t>Shares Outstanding - WAB</t>
  </si>
  <si>
    <t>Shares Outstanding - WAD</t>
  </si>
  <si>
    <t>Adjusted Shares Outstanding - WAD</t>
  </si>
  <si>
    <t>Cash Flow Summary</t>
  </si>
  <si>
    <t>Operating Cash Flow before WC</t>
  </si>
  <si>
    <t>Cash Flow Per Diluted Share</t>
  </si>
  <si>
    <t>Capex</t>
  </si>
  <si>
    <t>Acquisitions</t>
  </si>
  <si>
    <t>Divestiture</t>
  </si>
  <si>
    <t>Dividend Paid</t>
  </si>
  <si>
    <t>Dividend Per Share</t>
  </si>
  <si>
    <t>FCF, Pre Div</t>
  </si>
  <si>
    <t>FCF, Post Div Pre A/D</t>
  </si>
  <si>
    <t>FCF, Post Div Post A/D</t>
  </si>
  <si>
    <t>Balance Sheet Summary</t>
  </si>
  <si>
    <t>Cash</t>
  </si>
  <si>
    <t>Debt</t>
  </si>
  <si>
    <t>Net Debt</t>
  </si>
  <si>
    <t>Net Debt / EBITDA</t>
  </si>
  <si>
    <t>Net Debt / Cash Flow</t>
  </si>
  <si>
    <t>Valuation</t>
  </si>
  <si>
    <t>Avg</t>
  </si>
  <si>
    <t>Enterprise Value Components</t>
  </si>
  <si>
    <t>Noncontrolling Interest</t>
  </si>
  <si>
    <t>Preferred Shares</t>
  </si>
  <si>
    <t>Other EV Components</t>
  </si>
  <si>
    <t>Cumulative Cash Flow Statement</t>
  </si>
  <si>
    <t>CFO</t>
  </si>
  <si>
    <t>Additions to streaming content library</t>
  </si>
  <si>
    <t>Change in streaming content liabilities</t>
  </si>
  <si>
    <t>Amortization of streaming content library</t>
  </si>
  <si>
    <t>Amortization of DVD content library</t>
  </si>
  <si>
    <t>Depreciation and amortization of property, equipment and intangibles</t>
  </si>
  <si>
    <t>Stock-based compensation expense</t>
  </si>
  <si>
    <t>Excess tax benefits from stock-based compensation</t>
  </si>
  <si>
    <t>Other non-cash items</t>
  </si>
  <si>
    <t>Foreign currency remeasurement loss on long-term debt</t>
  </si>
  <si>
    <t>Deferred taxes</t>
  </si>
  <si>
    <t>Gain on sale of business</t>
  </si>
  <si>
    <t>CFO before WC</t>
  </si>
  <si>
    <t>Prepaid content</t>
  </si>
  <si>
    <t>Other current assets</t>
  </si>
  <si>
    <t>Accounts payable</t>
  </si>
  <si>
    <t>Accrued expenses</t>
  </si>
  <si>
    <t>Deferred revenue</t>
  </si>
  <si>
    <t>Other non-current assets and liabilities</t>
  </si>
  <si>
    <t>Net CFO</t>
  </si>
  <si>
    <t>CFI</t>
  </si>
  <si>
    <t>Acquisition of DVD content library</t>
  </si>
  <si>
    <t>Purchases of property and equipment</t>
  </si>
  <si>
    <t>Proceeds from sale of DVDs</t>
  </si>
  <si>
    <t>Acquisitions of intangible assets</t>
  </si>
  <si>
    <t>Proceeds from sale of business</t>
  </si>
  <si>
    <t>Other assets</t>
  </si>
  <si>
    <t>Cash paid in business acquisition</t>
  </si>
  <si>
    <t>Purchases of short-term investments</t>
  </si>
  <si>
    <t>Proceeds from sale of short-term investments</t>
  </si>
  <si>
    <t>Proceeds from maturities of short-term investments</t>
  </si>
  <si>
    <t>Net CFI</t>
  </si>
  <si>
    <t>CFF</t>
  </si>
  <si>
    <t>Proceeds from issuance of common stock</t>
  </si>
  <si>
    <t>Proceeds from public offering of common stock, net of issuance costs</t>
  </si>
  <si>
    <t>Proceeds from issuance of debt</t>
  </si>
  <si>
    <t>Issuance costs</t>
  </si>
  <si>
    <t>Debt issuance costs</t>
  </si>
  <si>
    <t>Redemption of debt</t>
  </si>
  <si>
    <t>Borrowings on line of credit, net of issuance costs</t>
  </si>
  <si>
    <t>Payments on line of credit</t>
  </si>
  <si>
    <t>Proceeds from issuance of common stock upon exercise of options</t>
  </si>
  <si>
    <t>Dividend paid to common shareholders</t>
  </si>
  <si>
    <t>Principal payments of lease financing obligations</t>
  </si>
  <si>
    <t>Other financing activities</t>
  </si>
  <si>
    <t>Net CFF</t>
  </si>
  <si>
    <t>FX</t>
  </si>
  <si>
    <t>Net Change in Cash Balance</t>
  </si>
  <si>
    <t>Beginning Cash Balance</t>
  </si>
  <si>
    <t>Ending Cash Balance</t>
  </si>
  <si>
    <t>Cash Flow Statement</t>
  </si>
  <si>
    <t>CF Check</t>
  </si>
  <si>
    <t>Working Capital Forecasting</t>
  </si>
  <si>
    <t>Other current assets, % of LTM Sales</t>
  </si>
  <si>
    <t>Accounts payable, % of LTM Sales</t>
  </si>
  <si>
    <t>Accrued expenses, % of LTM Sales</t>
  </si>
  <si>
    <t>Deferred revenue, % of LTM Sales</t>
  </si>
  <si>
    <t>Other current assets, Y/Y Change, %</t>
  </si>
  <si>
    <t>Accounts payable, Y/Y Change, %</t>
  </si>
  <si>
    <t>Accrued expenses, Y/Y Change, %</t>
  </si>
  <si>
    <t>Deferred revenue, Y/Y Change, %</t>
  </si>
  <si>
    <t>Current Assets</t>
  </si>
  <si>
    <t>Cash and cash equivalents</t>
  </si>
  <si>
    <t>Short-term investments</t>
  </si>
  <si>
    <t>Prepaid expenses</t>
  </si>
  <si>
    <t>Prepaid revenue sharing expenses</t>
  </si>
  <si>
    <t>Current content library, net</t>
  </si>
  <si>
    <t>Deferred tax assets</t>
  </si>
  <si>
    <t>Total Current Assets</t>
  </si>
  <si>
    <t>Non-Current Assets</t>
  </si>
  <si>
    <t>Non-current content library, net</t>
  </si>
  <si>
    <t>Property and equipment, net</t>
  </si>
  <si>
    <t>Other non-current assets</t>
  </si>
  <si>
    <t>Total Non-Current Assets</t>
  </si>
  <si>
    <t>Total Assets</t>
  </si>
  <si>
    <t>Current Liabilities</t>
  </si>
  <si>
    <t>Current content liabilities</t>
  </si>
  <si>
    <t>Current portion of lease financing obligations</t>
  </si>
  <si>
    <t>Total Current Liabilities</t>
  </si>
  <si>
    <t>Non-Current Liabilities</t>
  </si>
  <si>
    <t>Non-current content liabilities</t>
  </si>
  <si>
    <t>Long-term debt</t>
  </si>
  <si>
    <t>Long-term debt due to related party</t>
  </si>
  <si>
    <t>Other non-current liabilities</t>
  </si>
  <si>
    <t>Total Non-Current liabilities</t>
  </si>
  <si>
    <t>Total Liabilities</t>
  </si>
  <si>
    <t>Shareholders' Equity</t>
  </si>
  <si>
    <t>Additional paid-in capital</t>
  </si>
  <si>
    <t>Accumulated other comprehensive loss</t>
  </si>
  <si>
    <t>Retained earnings</t>
  </si>
  <si>
    <t>Total SE</t>
  </si>
  <si>
    <t>NCI</t>
  </si>
  <si>
    <t>Total Liabilities &amp; SE</t>
  </si>
  <si>
    <t>BS Check</t>
  </si>
  <si>
    <t>Model Checks</t>
  </si>
  <si>
    <t>Net Income on Revised IS = NI on CF statement</t>
  </si>
  <si>
    <t>Net Income on Reported IS = NI on Revised</t>
  </si>
  <si>
    <t>Segmented Revenue = Revenue</t>
  </si>
  <si>
    <t>Cash Flow is not Repeated</t>
  </si>
  <si>
    <t>Income Statement is not Repeated</t>
  </si>
  <si>
    <t>Balance Sheet is not Repeated</t>
  </si>
  <si>
    <t>Ending CF = Ending Cumulative CF</t>
  </si>
  <si>
    <t>Capex is Updated</t>
  </si>
  <si>
    <t>Margin is Updated</t>
  </si>
  <si>
    <t>Adjusted Numbers FY = Sum of Qs</t>
  </si>
  <si>
    <t>*Cash Flow Summary Signs are Correct</t>
  </si>
  <si>
    <t>*RIS NI FY = Sum of Qs</t>
  </si>
  <si>
    <t>*RIS Adjusted NI FY = Sum of Qs</t>
  </si>
  <si>
    <t>*CFO Before WC subtotal FY = Sum of Qs</t>
  </si>
  <si>
    <t>*CFO subtotal FY = Sum of Qs</t>
  </si>
  <si>
    <t>*CFI subtotal FY = Sum of Qs</t>
  </si>
  <si>
    <t>*CFF subtotal FY = Sum of Qs</t>
  </si>
  <si>
    <t>*CF Summary FY = Sum of Qs</t>
  </si>
  <si>
    <t>Other Tables</t>
  </si>
  <si>
    <t>Ticker Symbol</t>
  </si>
  <si>
    <t>NFLX US</t>
  </si>
  <si>
    <t>NASDAQ:NFLX</t>
  </si>
  <si>
    <t>NFLX-US</t>
  </si>
  <si>
    <t>NFLX.OQ</t>
  </si>
  <si>
    <t>Valuation Toggle Table</t>
  </si>
  <si>
    <t>High</t>
  </si>
  <si>
    <t>Low</t>
  </si>
  <si>
    <t>Consensus Estimate Table</t>
  </si>
  <si>
    <t>FY or FQ</t>
  </si>
  <si>
    <t>Period</t>
  </si>
  <si>
    <t>Stock Price Table</t>
  </si>
  <si>
    <t>Fiscal Period Start Date</t>
  </si>
  <si>
    <t>Real-Time Off Source</t>
  </si>
  <si>
    <t>Capital IQ</t>
  </si>
  <si>
    <t>FactSet</t>
  </si>
  <si>
    <t>General Table</t>
  </si>
  <si>
    <t>Last Price</t>
  </si>
  <si>
    <t>Last Price Date</t>
  </si>
  <si>
    <t>Real-Time Stock Price</t>
  </si>
  <si>
    <t>Last Price Formula</t>
  </si>
  <si>
    <t>Trade Currency</t>
  </si>
  <si>
    <t>Trade Currency Hardcoded</t>
  </si>
  <si>
    <t>Model Sheet Currency Hardcoded</t>
  </si>
  <si>
    <t>Most Recent FX</t>
  </si>
  <si>
    <t>Most Recent FX Hardcoded</t>
  </si>
  <si>
    <t>MRFP Column Number</t>
  </si>
  <si>
    <t>Most Recent Fiscal Period (MRFP)</t>
  </si>
  <si>
    <t>Current Fiscal Year</t>
  </si>
  <si>
    <t>Data Source Index</t>
  </si>
  <si>
    <t>Guidance</t>
  </si>
  <si>
    <t>Model</t>
  </si>
  <si>
    <t>Difference vs. Mid</t>
  </si>
  <si>
    <t>Update Log</t>
  </si>
  <si>
    <t>Type</t>
  </si>
  <si>
    <t>Item</t>
  </si>
  <si>
    <t>Item Name</t>
  </si>
  <si>
    <t>Fiscal Period</t>
  </si>
  <si>
    <t>Mid</t>
  </si>
  <si>
    <t>Output</t>
  </si>
  <si>
    <t>Absolute</t>
  </si>
  <si>
    <t>Relative</t>
  </si>
  <si>
    <t>Date</t>
  </si>
  <si>
    <t>Link</t>
  </si>
  <si>
    <t>MO_RIS_REV</t>
  </si>
  <si>
    <t>Q2-2019</t>
  </si>
  <si>
    <t>Press Release</t>
  </si>
  <si>
    <t>MO_GA_TotalRevenue</t>
  </si>
  <si>
    <t>MO_RIS_EBIT</t>
  </si>
  <si>
    <t>MO_RIS_NI_GAAP_Basic</t>
  </si>
  <si>
    <t>MO_RIS_EPS_WAD</t>
  </si>
  <si>
    <t>z_NVC8NN0168_MO_OS_domesticstreamingrevenue</t>
  </si>
  <si>
    <t>Domestic Contribution Profit</t>
  </si>
  <si>
    <t>z_NVC8NN0168_MO_OS_domesticstreamingnetcontribution</t>
  </si>
  <si>
    <t>Domestic Contribution Margin</t>
  </si>
  <si>
    <t>z_NVC8NN0168_MO_OS_domesticpaideopstreamingmemberships</t>
  </si>
  <si>
    <t>z_NVC8NN0168_MO_OS_netdomesticpaidstreamingmembershipschange</t>
  </si>
  <si>
    <t>Operating Margin</t>
  </si>
  <si>
    <t>Domestic Net Additions to Total Memberships</t>
  </si>
  <si>
    <t>z_NVC8NN0168_MO_OS_internationalstreamingrevenue</t>
  </si>
  <si>
    <t>International Contribution Profit</t>
  </si>
  <si>
    <t>z_NVC8NN0168_MO_OS_internationalstreamingnetcontribution</t>
  </si>
  <si>
    <t>International Contribution Margin</t>
  </si>
  <si>
    <t>z_NVC8NN0168_MO_OS_internationalpaideopstreamingmemberships</t>
  </si>
  <si>
    <t>z_NVC8NN0168_MO_OS_netinternationalpaidstreamingmembershipschange</t>
  </si>
  <si>
    <t>International Net Additions to Total Memberships</t>
  </si>
  <si>
    <t>Q1-2019</t>
  </si>
  <si>
    <t>Q4-2018</t>
  </si>
  <si>
    <t>Domestic Total Memberships</t>
  </si>
  <si>
    <t>International Total Memberships</t>
  </si>
  <si>
    <t>Q3-2018</t>
  </si>
  <si>
    <t>MO_RIS_EBITDA</t>
  </si>
  <si>
    <t>MO_MA_EBITDA</t>
  </si>
  <si>
    <t>Spending on content on a P&amp;L basis</t>
  </si>
  <si>
    <t>FY2018</t>
  </si>
  <si>
    <t>Operating margin</t>
  </si>
  <si>
    <t>Q2-2018</t>
  </si>
  <si>
    <t>MO_RIS_SM</t>
  </si>
  <si>
    <t>MO_RIS_RD</t>
  </si>
  <si>
    <t>Global net adds</t>
  </si>
  <si>
    <t>Q1-2018</t>
  </si>
  <si>
    <t>Reports</t>
  </si>
  <si>
    <t>Capitalization Summary</t>
  </si>
  <si>
    <t>Company-Specific Operational Data</t>
  </si>
  <si>
    <t>GAAP Financials</t>
  </si>
  <si>
    <t>Other Items</t>
  </si>
  <si>
    <t>Tax</t>
  </si>
  <si>
    <t>GAAP EPS</t>
  </si>
  <si>
    <t>Non-GAAP Financials</t>
  </si>
  <si>
    <t>Cash Flow Analysis</t>
  </si>
  <si>
    <t>Core FCF, Pre Div</t>
  </si>
  <si>
    <t>Core FCF, Post Div</t>
  </si>
  <si>
    <t>Change in WC</t>
  </si>
  <si>
    <t>New Equity Issuance</t>
  </si>
  <si>
    <t>New Debt Issuance</t>
  </si>
  <si>
    <t>Change in Cash Position</t>
  </si>
  <si>
    <t>Operating Cash Flow Per Share</t>
  </si>
  <si>
    <t>Core Free Cash Flow Per Share, Pre Div</t>
  </si>
  <si>
    <t>Dividend Payout Ratio vs Core FCF, Pre Div</t>
  </si>
  <si>
    <t>Dividend Payout Ratio vs Earnings Per Share</t>
  </si>
  <si>
    <t>Net Debt / Capital</t>
  </si>
  <si>
    <t>LTM EBITDA</t>
  </si>
  <si>
    <t>LTM Cash Flow</t>
  </si>
  <si>
    <t>Net Income</t>
  </si>
  <si>
    <t>LTM Net Income</t>
  </si>
  <si>
    <t>Shareholder's Equity</t>
  </si>
  <si>
    <t>Average Shareholder's Equity</t>
  </si>
  <si>
    <t>ROE</t>
  </si>
  <si>
    <t>Net Operating Profit</t>
  </si>
  <si>
    <t>LTM Net Operating Profit</t>
  </si>
  <si>
    <t>Average Total Assets</t>
  </si>
  <si>
    <t>ROA</t>
  </si>
  <si>
    <t>Total Debt</t>
  </si>
  <si>
    <t>Average Book Value of Debt</t>
  </si>
  <si>
    <t>Average Invested Capital</t>
  </si>
  <si>
    <t>ROIC</t>
  </si>
  <si>
    <t>LTM EBIT</t>
  </si>
  <si>
    <t>Average Current Liabilities</t>
  </si>
  <si>
    <t>Average Capital Employed</t>
  </si>
  <si>
    <t>ROCE</t>
  </si>
  <si>
    <t>Per-Share Growth Metrics</t>
  </si>
  <si>
    <t>Revenue Per Share Growth</t>
  </si>
  <si>
    <t>Adj. EBITDA Per Share Growth</t>
  </si>
  <si>
    <t>Adj. Earnings Per Share Growth</t>
  </si>
  <si>
    <t>Operating Cash Flow Per Share Growth</t>
  </si>
  <si>
    <t>Free Cash Flow Per Share Growth</t>
  </si>
  <si>
    <t>Valuation Metrics</t>
  </si>
  <si>
    <t>Check</t>
  </si>
  <si>
    <t>Non GAAP NI</t>
  </si>
  <si>
    <t>GAAP NI</t>
  </si>
  <si>
    <t>Change in Cash Summary = Change in Cash Model</t>
  </si>
  <si>
    <t>Update Date</t>
  </si>
  <si>
    <t>Updated By (Initials)</t>
  </si>
  <si>
    <t>Update Type</t>
  </si>
  <si>
    <t>Special Comments</t>
  </si>
  <si>
    <t>Link to Press Release / News Item</t>
  </si>
  <si>
    <t>JK</t>
  </si>
  <si>
    <t>Earnings Press Release</t>
  </si>
  <si>
    <t>AP</t>
  </si>
  <si>
    <t>AlD</t>
  </si>
  <si>
    <t>TM &amp; JK</t>
  </si>
  <si>
    <t>TM &amp; AlD</t>
  </si>
  <si>
    <t>FY2017</t>
  </si>
  <si>
    <t>AlD &amp; FL</t>
  </si>
  <si>
    <t>Q3-2017</t>
  </si>
  <si>
    <t>JK &amp; AlD</t>
  </si>
  <si>
    <t>Q2-2017</t>
  </si>
  <si>
    <t>BC &amp; MB</t>
  </si>
  <si>
    <t>Q1-2017</t>
  </si>
  <si>
    <t>MB &amp; RX</t>
  </si>
  <si>
    <t>FY2016</t>
  </si>
  <si>
    <t>BH</t>
  </si>
  <si>
    <t>Q3-2016</t>
  </si>
  <si>
    <t>JD</t>
  </si>
  <si>
    <t>Q2-2016</t>
  </si>
  <si>
    <t>BP</t>
  </si>
  <si>
    <t>New Build</t>
  </si>
  <si>
    <r>
      <rPr>
        <b/>
        <sz val="7"/>
        <color rgb="FF000000"/>
        <rFont val="Calibri"/>
        <family val="2"/>
        <scheme val="minor"/>
      </rPr>
      <t>DISCLAIMER</t>
    </r>
    <r>
      <rPr>
        <sz val="7"/>
        <color rgb="FF000000"/>
        <rFont val="Calibri"/>
        <family val="2"/>
        <scheme val="minor"/>
      </rPr>
      <t xml:space="preserve">
Access to and use of this model, including the data contained herein (this "Model") is subject to Canalyst Financial Modeling Corporation's ("Company") Terms of Use that you accepted prior to accessing this Model, the applicable Service Agreement between the Company and you (or a corporate entity that has authorized you to access and use this Model on its behalf in accordance with the terms of such Service Agreement) or other similar agreement between you and the Company. BY CONTINUING TO ACCESS OR USE THIS MODEL, YOU EXPRESSLY AGREE TO THE TERMS AND CONDITIONS OF SUCH AGREEMENTS.
</t>
    </r>
    <r>
      <rPr>
        <b/>
        <sz val="7"/>
        <color rgb="FF000000"/>
        <rFont val="Calibri"/>
        <family val="2"/>
        <scheme val="minor"/>
      </rPr>
      <t>The Company and certain of its licensors have exclusive proprietary rights in this Model. This Model is being provided for internal use only. Unless prior written consent by the Company and its licensors has been provided to you, you may not distribute or otherwise furnish this Model to any third party, nor use or permit anyone to use this Model for any unlawful or unauthorized purpose. IF YOU HAVE UNLAWFULLY OBTAINED, OR ARE NOT AUTHORIZED TO USE THIS MODEL, YOU ARE OBLIGATED TO PROMPTLY: (I) RETURN THIS MODEL (AND ANY DERIVATIVE WORKS ARISING FROM OR RELATING THERETO) TO THE AUTHORIZED USER OF THIS MODEL; (II) PROVIDE NOTICE TO THE COMPANY AT LEGAL@CANALYST.COM OF SUCH UNLAWFUL OR UNAUTHORIZED ACCESS AND USE; AND, (III) CERTIFY THAT YOU HAVE DESTROYED THIS MODEL (AND ANY DERIVATIVE WORKS ARISING FROM OR RELATING THERETO) AND ANY COPIES FROM YOUR SYSTEMS SO AS TO ENSURE THEY ARE INCAPABLE OF RETRIEVAL.</t>
    </r>
    <r>
      <rPr>
        <sz val="7"/>
        <color rgb="FF000000"/>
        <rFont val="Calibri"/>
        <family val="2"/>
        <scheme val="minor"/>
      </rPr>
      <t xml:space="preserve">
A portion of the data contained in this Model may be powered by third party contributors and their respective licensors, or derived from data provided by such contributors, including (but not limited to): (i) </t>
    </r>
    <r>
      <rPr>
        <b/>
        <sz val="7"/>
        <color rgb="FF000000"/>
        <rFont val="Calibri"/>
        <family val="2"/>
        <scheme val="minor"/>
      </rPr>
      <t>QuoteMedia Inc.</t>
    </r>
    <r>
      <rPr>
        <sz val="7"/>
        <color rgb="FF000000"/>
        <rFont val="Calibri"/>
        <family val="2"/>
        <scheme val="minor"/>
      </rPr>
      <t xml:space="preserve">: A portion of the market data is powered by Quotemedia.com. All rights reserved. Data delayed 15 minutes unless otherwise indicated; (ii) </t>
    </r>
    <r>
      <rPr>
        <b/>
        <sz val="7"/>
        <color rgb="FF000000"/>
        <rFont val="Calibri"/>
        <family val="2"/>
        <scheme val="minor"/>
      </rPr>
      <t>S&amp;P Global Market Intelligence LLC</t>
    </r>
    <r>
      <rPr>
        <sz val="7"/>
        <color rgb="FF000000"/>
        <rFont val="Calibri"/>
        <family val="2"/>
        <scheme val="minor"/>
      </rPr>
      <t xml:space="preserve">: Copyright (c) 2020 S&amp;P Global Market Intelligence LLC (and its affiliates as applicable). All rights reserved. Reproduction of any information, opinions, views, data or material, including ratings ("Content") in any form is prohibited except with the prior written permission of the relevant party. Such party, its affiliates and suppliers ("Content Providers") do not guarantee the accuracy, adequacy, completeness, timeliness or availability of any Content and are not responsible for any errors or omissions (negligent or otherwise), regardless of the cause, or for the results obtained from the use of such Content. In no event shall Content Providers be liable for any damages, costs, expenses, legal fees, or losses (including lost income or lost profit and opportunity costs) in connection with any use of the Content. A reference to a particular investment or security, a rating or any observation concerning an investment that is part of the Content is not a recommendation to buy, sell or hold such investment or security, does not address the suitability of an investment or security and should not be relied on as investment advice. Credit ratings are statements of opinions and are not statements of fact; and, (iii) </t>
    </r>
    <r>
      <rPr>
        <b/>
        <sz val="7"/>
        <color rgb="FF000000"/>
        <rFont val="Calibri"/>
        <family val="2"/>
        <scheme val="minor"/>
      </rPr>
      <t>Refinitiv Canada Holdings Limited</t>
    </r>
    <r>
      <rPr>
        <sz val="7"/>
        <color rgb="FF000000"/>
        <rFont val="Calibri"/>
        <family val="2"/>
        <scheme val="minor"/>
      </rPr>
      <t xml:space="preserve">: A portion of the information may be provided by or derived from data provided by Refinitiv.
By accessing or using this Model (including any portion of the data contained herein) you expressly represent that such access or use does not constitute a violation of any applicable law or regulation to which you or the securities are subject.
This Model does not constitute investment advice by the Company or any of its licensors. Reference to a particular investment or security, credit rating or any observation concerning a security or investment in this Model is not a recommendation or solicitation to buy, sell or hold such investment or security or make any other investment decisions. For greater certainty, any forecasts or forward-looking information expressed herein are for illustrative purposes only and do not purport to express any view on what may transpire. Neither the Company nor any of its licensors have performed company-specific research on any projected information, as such, it is your responsibility to express your own views on projected results. This Model does not guarantee future performance and undue reliance should not be placed on such. You are solely responsible for evaluating the merits and risks of any investment based on your own business and financial expertise, the business and financial expertise of professional advisors with whom you have consulted, your financial situation and risk tolerance. Neither the Company, nor any of its licensors, undertake any liability with respect to your reliance on this Model.
This Model is a quantitative tool with no investment views. The Company and its respective directors, officers, employees, agents, contractors, and affiliates may hold long or short positions in the security to which this Model relates, based on their personal views, and may initiate or close out any positions in such security at any time without any notice.
</t>
    </r>
    <r>
      <rPr>
        <b/>
        <sz val="7"/>
        <color rgb="FF000000"/>
        <rFont val="Calibri"/>
        <family val="2"/>
        <scheme val="minor"/>
      </rPr>
      <t>THIS MODEL IS PROVIDED "AS IS" AND ON AN "AS AVAILABLE" BASIS ONLY, WITHOUT WARRANTIES OR CONDITIONS OF ANY KIND. NEITHER THE COMPANY NOR ANY OF ITS LICENSORS NOR THEIR RESPECTIVE AFFILIATES OR SUPPLIERS HAVE LIABILITY FOR THE ACCURACY, TIMELINESS OR COMPLETENESS OF THIS MODEL, OR FOR DELAYS, INTERRUPTIONS OR OMISSIONS HEREIN, NOR FOR ANY LOST PROFITS, INDIRECT, SPECIAL OR CONSEQUENTIAL DAMAGES.</t>
    </r>
    <r>
      <rPr>
        <sz val="7"/>
        <color rgb="FF000000"/>
        <rFont val="Calibri"/>
        <family val="2"/>
        <scheme val="minor"/>
      </rPr>
      <t xml:space="preserve"> Access to data in this Model that is sourced from third party contributors is subject to termination in the event that any agreement between the Company and such third party contributors terminates for any reason.
</t>
    </r>
    <r>
      <rPr>
        <b/>
        <sz val="7"/>
        <color rgb="FF000000"/>
        <rFont val="Calibri"/>
        <family val="2"/>
        <scheme val="minor"/>
      </rPr>
      <t>(c) 2015-2021 Canalyst. All rights reserved.</t>
    </r>
  </si>
  <si>
    <t>Most Recent Period:</t>
  </si>
  <si>
    <t>Is Historical Period</t>
  </si>
  <si>
    <t>Q3-2019</t>
  </si>
  <si>
    <t>DL</t>
  </si>
  <si>
    <t>First Forecast Fiscal Year</t>
  </si>
  <si>
    <t>Q4-2019</t>
  </si>
  <si>
    <t>Domestic Streaming Net Contribution margin, %</t>
  </si>
  <si>
    <t>International Streaming Net Contribution margin, %</t>
  </si>
  <si>
    <t>Domestic DVD Net Contribution margin, %</t>
  </si>
  <si>
    <t>Total Net Contribution margin, %</t>
  </si>
  <si>
    <t>Balance Sheet Ratios - Debt</t>
  </si>
  <si>
    <t>Balance Sheet Ratios - Return</t>
  </si>
  <si>
    <t>z_NVC8NN0168_MO_OS_DomesticStreamingNetContributionmargin</t>
  </si>
  <si>
    <t>z_NVC8NN0168_MO_OS_InternationalStreamingNetContributionmargin</t>
  </si>
  <si>
    <t>FY2019</t>
  </si>
  <si>
    <t>FY2020</t>
  </si>
  <si>
    <t>Licensed content, net</t>
  </si>
  <si>
    <t>Produced content, net</t>
  </si>
  <si>
    <t>Released, less amortization</t>
  </si>
  <si>
    <t>In production</t>
  </si>
  <si>
    <t>In development and production</t>
  </si>
  <si>
    <t>DVD, net</t>
  </si>
  <si>
    <t>Key Metrics - Content Assets Breakdown (FS) - (Historical)</t>
  </si>
  <si>
    <t>Current operating lease liabilities</t>
  </si>
  <si>
    <t>Accrued expenses excluding operating lease liabilities</t>
  </si>
  <si>
    <t>Non-Current operating lease liabilities</t>
  </si>
  <si>
    <t>Other non-current liabilities excluding non-current operating lease liabilities</t>
  </si>
  <si>
    <t>Operating Lease Liabilities</t>
  </si>
  <si>
    <t>Key Metrics - Y/Y Cost Granularity (FS)</t>
  </si>
  <si>
    <t>Previous Domestic COGS, mm</t>
  </si>
  <si>
    <t>Current Domestic COGS, mm</t>
  </si>
  <si>
    <t>Previous International COGS, mm</t>
  </si>
  <si>
    <t>Current International COGS, mm</t>
  </si>
  <si>
    <t>Domestic COGS - Change in Content amortization, mm</t>
  </si>
  <si>
    <t>Domestic COGS - Change in Streaming delivery expenses, mm</t>
  </si>
  <si>
    <t>Domestic COGS - Changes in Other costs, mm</t>
  </si>
  <si>
    <t>Domestic COGS - Discrepancies, mm</t>
  </si>
  <si>
    <t>International COGS - Change in Content amortization, mm</t>
  </si>
  <si>
    <t>International COGS - Changes in Other costs, mm</t>
  </si>
  <si>
    <t>International COGS - Discrepancies, mm</t>
  </si>
  <si>
    <t>Asia Pacific Streaming Revenue, mm</t>
  </si>
  <si>
    <t>Total Streaming Revenue, mm</t>
  </si>
  <si>
    <t>United States DVD Revenue, mm</t>
  </si>
  <si>
    <t>United States &amp; Canada Streaming Revenue, mm</t>
  </si>
  <si>
    <t>United States EOP paid streaming memberships, 000s</t>
  </si>
  <si>
    <t>Calculated Canada EOP paid streaming memberships, 000s</t>
  </si>
  <si>
    <t>United States Streaming ARPU, $/member</t>
  </si>
  <si>
    <t>Calculated Canada Streaming ARPU, $/member</t>
  </si>
  <si>
    <t>United States &amp; Canada Streaming ARPU, $/member</t>
  </si>
  <si>
    <t>Latin America Streaming ARPU, $/member</t>
  </si>
  <si>
    <t>Asia Pacific Streaming ARPU, $/member</t>
  </si>
  <si>
    <t>United States paid streaming memberships net additions, 000s</t>
  </si>
  <si>
    <t>Canada paid streaming memberships net additions, 000s</t>
  </si>
  <si>
    <t>Most Recent Period</t>
  </si>
  <si>
    <t>Quarterly (Earnings Report)</t>
  </si>
  <si>
    <t>Annual (Earnings Report)</t>
  </si>
  <si>
    <t>Q1-2016</t>
  </si>
  <si>
    <t>Q1-2020</t>
  </si>
  <si>
    <t>z_NVC8NN0168_MO_OS_TotalEOPpaidstreamingmemberships</t>
  </si>
  <si>
    <t>z_NVC8NN0168_MO_OS_Totalpaidstreamingmembershipsnetadditions</t>
  </si>
  <si>
    <t>Latin America Streaming Revenue, mm</t>
  </si>
  <si>
    <t>Domestic Paid BOP Streaming Memberships, 000s</t>
  </si>
  <si>
    <t>Net Domestic Paid Streaming Memberships Change, 000s</t>
  </si>
  <si>
    <t>Domestic Paid EOP Streaming Memberships, 000s</t>
  </si>
  <si>
    <t>Average Domestic Paid Streaming Memberships in period, 000s</t>
  </si>
  <si>
    <t>International Paid BOP Streaming Memberships, 000s</t>
  </si>
  <si>
    <t>Net International Paid Streaming Memberships Change, 000s</t>
  </si>
  <si>
    <t>International Paid EOP Streaming Memberships, 000s</t>
  </si>
  <si>
    <t>Average International Paid Streaming Memberships in period, 000s</t>
  </si>
  <si>
    <t>Domestic Paid BOP DVD Memberships, 000s</t>
  </si>
  <si>
    <t>Net Domestic Paid DVD Memberships Change, 000s</t>
  </si>
  <si>
    <t>Domestic Paid EOP DVD Memberships, 000s</t>
  </si>
  <si>
    <t>Average Domestic Paid DVD Memberships in period, 000s</t>
  </si>
  <si>
    <t>Domestic free trials, 000s</t>
  </si>
  <si>
    <t>International free trials, 000s</t>
  </si>
  <si>
    <t>Domestic DVD free trials, 000s</t>
  </si>
  <si>
    <t>Total free trials, 000s</t>
  </si>
  <si>
    <t>Previous COGS, mm</t>
  </si>
  <si>
    <t>COGS Change in Content amortization, mm</t>
  </si>
  <si>
    <t>COGS Change in Other costs, mm</t>
  </si>
  <si>
    <t>COGS Change Discrepancy, mm</t>
  </si>
  <si>
    <t>Current COGS, mm</t>
  </si>
  <si>
    <t>Previous Marketing, mm</t>
  </si>
  <si>
    <t>Marketing Change Advertising and payments to partners, mm</t>
  </si>
  <si>
    <t>Marketing Change Personnel-related expenses, mm</t>
  </si>
  <si>
    <t>Current Marketing, mm</t>
  </si>
  <si>
    <t>Marketing Change Discrepancy, mm</t>
  </si>
  <si>
    <t>Previous Technology and Development, mm</t>
  </si>
  <si>
    <t>Tech&amp;Dev Change Personnel expenses, mm</t>
  </si>
  <si>
    <t>Tech&amp;Dev Change Third-party expenses, mm</t>
  </si>
  <si>
    <t>Tech&amp;Dev Change Discrepancy, mm</t>
  </si>
  <si>
    <t>Current Technology and Development, mm</t>
  </si>
  <si>
    <t>Previous G&amp;A, mm</t>
  </si>
  <si>
    <t>G&amp;A Change Personnel-related expenses, mm</t>
  </si>
  <si>
    <t>G&amp;A Change Third-party expenses, mm</t>
  </si>
  <si>
    <t>G&amp;A Change Discrepancy, mm</t>
  </si>
  <si>
    <t>Current G&amp;A, mm</t>
  </si>
  <si>
    <t>Restricted Cash in Other non-current assets</t>
  </si>
  <si>
    <t>Restricted cash in Other current assets</t>
  </si>
  <si>
    <t>Net cash from operating activities</t>
  </si>
  <si>
    <t>Change in other assets</t>
  </si>
  <si>
    <t>Free Cash Flow</t>
  </si>
  <si>
    <t>Acquisition of DVD content assets</t>
  </si>
  <si>
    <t>Key Outputs</t>
  </si>
  <si>
    <t>LZ</t>
  </si>
  <si>
    <t>Short term debt</t>
  </si>
  <si>
    <t>Q2-2020</t>
  </si>
  <si>
    <t>COGS Change in incremental content costs due to paused production and hardship fund commitments due to COVID-19,mm</t>
  </si>
  <si>
    <t>Key Metrics- Membership Breakdown Based On Old Segmentation (MD&amp;A) (Historical)</t>
  </si>
  <si>
    <t>Segmented Results - Costs Breakdown Based On Old Segmentation (FS) (Historical)</t>
  </si>
  <si>
    <t>Segmented Results - Revenue Breakdown Based On Old Segmentation (FS) (Historical)</t>
  </si>
  <si>
    <t>COGS</t>
  </si>
  <si>
    <t>Interest income</t>
  </si>
  <si>
    <t>Interest Expense</t>
  </si>
  <si>
    <t>Effective Interest Rate on Debt</t>
  </si>
  <si>
    <t>Interest Income</t>
  </si>
  <si>
    <t>Effective Interest Rate on Cash</t>
  </si>
  <si>
    <t>Net Interest Expense (Income)</t>
  </si>
  <si>
    <t>Effective Net Interest Rate on Debt</t>
  </si>
  <si>
    <t>EBITDA / Net Interest Expense</t>
  </si>
  <si>
    <t>Repurchases of common stock</t>
  </si>
  <si>
    <t>ST Debt</t>
  </si>
  <si>
    <t>LT Debt</t>
  </si>
  <si>
    <t>Net Debt Issuance (Repayment)</t>
  </si>
  <si>
    <t>Cash is Positive</t>
  </si>
  <si>
    <t>Debt is Positive</t>
  </si>
  <si>
    <t>Net Share Issuance (Buybacks)</t>
  </si>
  <si>
    <t>Estimated Share Price for Issuance/Buybacks, USD</t>
  </si>
  <si>
    <t>FCF, Post Div, Debt, Buyback, A/D</t>
  </si>
  <si>
    <t>Initial (Press Release)</t>
  </si>
  <si>
    <t>Q3-2020</t>
  </si>
  <si>
    <t>HS</t>
  </si>
  <si>
    <t>In production, mm</t>
  </si>
  <si>
    <t>In development and production, mm</t>
  </si>
  <si>
    <t>Total Content Assets, mm</t>
  </si>
  <si>
    <t>DVD net, mm</t>
  </si>
  <si>
    <t>Produced content net, mm</t>
  </si>
  <si>
    <t>Released less amortization, mm</t>
  </si>
  <si>
    <t>Licensed content net, mm</t>
  </si>
  <si>
    <t>D&amp;A Forecasting</t>
  </si>
  <si>
    <t>PP&amp;E EoP, mm</t>
  </si>
  <si>
    <t>PP&amp;E BoP, mm</t>
  </si>
  <si>
    <t>Depreciation of fixed assets, mm</t>
  </si>
  <si>
    <t>Depreciation as percentage of PP&amp;E BoP, %</t>
  </si>
  <si>
    <t>Capex of PP&amp;E, mm</t>
  </si>
  <si>
    <t>Other net additions to PP&amp;E, mm</t>
  </si>
  <si>
    <t>Intangibles EoP, mm</t>
  </si>
  <si>
    <t>Intangibles BoP, mm</t>
  </si>
  <si>
    <t>Amortization of intangibles, mm</t>
  </si>
  <si>
    <t>Amortization as percentage of Intangibles BoP, %</t>
  </si>
  <si>
    <t>Capex of intangibles, mm</t>
  </si>
  <si>
    <t>Other net additions to intangibles, mm</t>
  </si>
  <si>
    <t>Implied life of fixed assets, yr</t>
  </si>
  <si>
    <t>Implied life of intangibles, yr</t>
  </si>
  <si>
    <t>Total D&amp;A, mm</t>
  </si>
  <si>
    <t>Total Capex, mm</t>
  </si>
  <si>
    <t>Percentage of capex allocated to intangible assets, %</t>
  </si>
  <si>
    <t>Canalyst</t>
  </si>
  <si>
    <t>Q4-2020</t>
  </si>
  <si>
    <t>FY2021</t>
  </si>
  <si>
    <t>COGS Change in acquisition, licensing and production of content, mm</t>
  </si>
  <si>
    <t>Q1-2021</t>
  </si>
  <si>
    <t>Refinitiv</t>
  </si>
  <si>
    <t>AW</t>
  </si>
  <si>
    <t>Q2-2021</t>
  </si>
  <si>
    <t>TP</t>
  </si>
  <si>
    <t>COGS Change in streaming delivery costs and payment processing fees, mm</t>
  </si>
  <si>
    <t>OFF</t>
  </si>
  <si>
    <t>SK</t>
  </si>
  <si>
    <t>Treasury stock</t>
  </si>
  <si>
    <t>Q3-2021</t>
  </si>
  <si>
    <t>Common stock</t>
  </si>
  <si>
    <t>AA</t>
  </si>
  <si>
    <t>Key Metrics - Content Obligations (FS)</t>
  </si>
  <si>
    <t>Current content liabilities, mm</t>
  </si>
  <si>
    <t>Other obligations not reflected in Balance sheet, mm</t>
  </si>
  <si>
    <t>Total Content Obligations, mm</t>
  </si>
  <si>
    <t>Non-current content liabilities, mm</t>
  </si>
  <si>
    <t>Content obligations due in less than one year, mm</t>
  </si>
  <si>
    <t>Content obligations due after one year and through three years, mm</t>
  </si>
  <si>
    <t>Content obligations due after three years and through five years, mm</t>
  </si>
  <si>
    <t>Content obligations due after five years, mm</t>
  </si>
  <si>
    <t>Q4-2021</t>
  </si>
  <si>
    <t>EBIT Margin, %</t>
  </si>
  <si>
    <t>Consensus Estimates - Adjusted EBIT</t>
  </si>
  <si>
    <t>Consensus Estimates - Adjusted EBIT Margin, %</t>
  </si>
  <si>
    <t>Adjusted EBIT</t>
  </si>
  <si>
    <t>Add back: D&amp;A Margin, %</t>
  </si>
  <si>
    <t>Add back: SBC Margin, %</t>
  </si>
  <si>
    <t>Add back: D&amp;A</t>
  </si>
  <si>
    <t>Add back: SBC</t>
  </si>
  <si>
    <t>Segmented Results - US and Canada Streaming (FS)</t>
  </si>
  <si>
    <t>United States and Canada Paid Streaming Memberships Net Additions, 000s</t>
  </si>
  <si>
    <t>United States streaming revenue, mm</t>
  </si>
  <si>
    <t>Calculated Canada streaming revenue, mm</t>
  </si>
  <si>
    <t>Y/Y United States streaming revenue growth, %</t>
  </si>
  <si>
    <t>Y/Y Calculated Canada streaming revenue growth, %</t>
  </si>
  <si>
    <t>Y/Y United States &amp; Canada streaming revenue growth, %</t>
  </si>
  <si>
    <t>Q/Q United States &amp; Canada streaming revenue growth, %</t>
  </si>
  <si>
    <t>Q/Q United States EOP paid streaming membership growth, %</t>
  </si>
  <si>
    <t>Y/Y United States EOP paid streaming membership growth, %</t>
  </si>
  <si>
    <t>Q/Q Calculated Canada EOP paid streaming membership growth, %</t>
  </si>
  <si>
    <t>Y/Y Calculated Canada EOP paid streaming membership growth, %</t>
  </si>
  <si>
    <t>Q/Q United States &amp; Canada EOP paid streaming memberships growth, %</t>
  </si>
  <si>
    <t>Y/Y United States &amp; Canada EOP paid streaming memberships growth, %</t>
  </si>
  <si>
    <t>Y/Y United States streaming ARPU growth, %</t>
  </si>
  <si>
    <t>Y/Y Calculated Canada streaming ARPU growth, %</t>
  </si>
  <si>
    <t>Y/Y United States &amp; Canada streaming ARPU growth, %</t>
  </si>
  <si>
    <t>Q/Q United States &amp; Canada streaming ARPU growth, %</t>
  </si>
  <si>
    <t>Segmented Results - EMEA Streaming (FS)</t>
  </si>
  <si>
    <t>Y/Y EMEA EOP paid streaming membership growth, %</t>
  </si>
  <si>
    <t>Q/Q EMEA EOP paid streaming memberships growth, %</t>
  </si>
  <si>
    <t>EMEA Paid Streaming Memberships Net Additions, 000s</t>
  </si>
  <si>
    <t>EMEA Streaming ARPU, $/member</t>
  </si>
  <si>
    <t>Y/Y EMEA streaming ARPU growth, %</t>
  </si>
  <si>
    <t>Q/Q EMEA streaming ARPU growth, %</t>
  </si>
  <si>
    <t>EMEA Streaming Revenue, mm</t>
  </si>
  <si>
    <t>Y/Y EMEA streaming revenue growth, %</t>
  </si>
  <si>
    <t>Q/Q EMEA streaming revenue growth, %</t>
  </si>
  <si>
    <t>Segmented Results - Latin America Streaming (FS)</t>
  </si>
  <si>
    <t>Y/Y Latin America EOP paid streaming membership growth, %</t>
  </si>
  <si>
    <t>Q/Q Latin America EOP paid streaming memberships growth, %</t>
  </si>
  <si>
    <t>Latin America Paid Streaming Memberships Net Additions, 000s</t>
  </si>
  <si>
    <t>Y/Y Latin America streaming ARPU growth, %</t>
  </si>
  <si>
    <t>Q/Q Latin America streaming ARPU growth, %</t>
  </si>
  <si>
    <t>Y/Y Latin America streaming revenue growth, %</t>
  </si>
  <si>
    <t>Segmented Results - Asia Pacific Streaming (FS)</t>
  </si>
  <si>
    <t>Q/Q Latin America streaming revenue growth, %</t>
  </si>
  <si>
    <t>Asia Pacific Paid Streaming Memberships Net Additions, 000s</t>
  </si>
  <si>
    <t>Q/Q Asia Pacific EOP paid streaming memberships growth, %</t>
  </si>
  <si>
    <t>Y/Y Asia Pacific EOP paid streaming membership growth, %</t>
  </si>
  <si>
    <t>Y/Y Asia Pacific streaming ARPU growth, %</t>
  </si>
  <si>
    <t>Q/Q Asia Pacific streaming ARPU growth, %</t>
  </si>
  <si>
    <t>Y/Y Asia Pacific streaming revenue growth, %</t>
  </si>
  <si>
    <t>Segment Summary</t>
  </si>
  <si>
    <t>United States EOP paid streaming memberships mix, %</t>
  </si>
  <si>
    <t>Calculated Canada EOP paid streaming memberships mix, %</t>
  </si>
  <si>
    <t>Total EOP Global Streaming Memberships Mix, %</t>
  </si>
  <si>
    <t>International EOP paid streaming memberships, 000s</t>
  </si>
  <si>
    <t>International EOP paid streaming memberships mix, %</t>
  </si>
  <si>
    <t>Segmented Results - United States DVD (FS)</t>
  </si>
  <si>
    <t>Y/Y United States DVD revenue growth, %</t>
  </si>
  <si>
    <t>Q/Q United States DVD revenue growth, %</t>
  </si>
  <si>
    <t>Total Paid Streaming Memberships Net Additions, 000s</t>
  </si>
  <si>
    <t>Total Global Streaming ARPU, $/Member</t>
  </si>
  <si>
    <t>United States streaming revenue mix, %</t>
  </si>
  <si>
    <t>Calculated Canada streaming revenue mix, %</t>
  </si>
  <si>
    <t>United States &amp; Canada Streaming Revenue Mix, %</t>
  </si>
  <si>
    <t>EMEA Streaming Revenue Mix, %</t>
  </si>
  <si>
    <t>Latin America Streaming Revenue Mix, %</t>
  </si>
  <si>
    <t>Asia Pacific Streaming Revenue Mix, %</t>
  </si>
  <si>
    <t>Total Streaming Revenue Mix, %</t>
  </si>
  <si>
    <t>United States DVD Revenue Mix, %</t>
  </si>
  <si>
    <t>International Streaming Revenue Mix, %</t>
  </si>
  <si>
    <t>Y/Y US and Canada streaming constant currency ARPU growth, %</t>
  </si>
  <si>
    <t>Y/Y EMEA streaming constant currency ARPU growth, %</t>
  </si>
  <si>
    <t>Y/Y Latin America streaming constant currency ARPU growth, %</t>
  </si>
  <si>
    <t>Y/Y Asia Pacific streaming constant currency ARPU growth, %</t>
  </si>
  <si>
    <t>Consolidated Summary</t>
  </si>
  <si>
    <t>Q/Q Global streaming ARPU growth, %</t>
  </si>
  <si>
    <t>Y/Y Global streaming ARPU growth, %</t>
  </si>
  <si>
    <t>Y/Y Domestic streaming revenue growth, %</t>
  </si>
  <si>
    <t>Y/Y International streaming revenue growth, %</t>
  </si>
  <si>
    <t>Y/Y Domestic DVD Revenue Growth, %</t>
  </si>
  <si>
    <t>Y/Y Streaming revenue growth, %</t>
  </si>
  <si>
    <t>Q/Q Streaming revenue growth, %</t>
  </si>
  <si>
    <t>Y/Y Total revenue growth, %</t>
  </si>
  <si>
    <t>Q/Q Total revenue growth, %</t>
  </si>
  <si>
    <t>Operating Expense Forecasting</t>
  </si>
  <si>
    <t>Licensed content amortization, mm</t>
  </si>
  <si>
    <t>Produced content amortization, mm</t>
  </si>
  <si>
    <t>DVD content amortization, mm</t>
  </si>
  <si>
    <t>Total Amortization, mm</t>
  </si>
  <si>
    <t>Total Average Paying Memberships, 000s</t>
  </si>
  <si>
    <t>Total Global EOP Paid Streaming Memberships, 000s</t>
  </si>
  <si>
    <t>Q/Q Global EOP paid streaming memberships growth, %</t>
  </si>
  <si>
    <t>Y/Y Global EOP paid streaming memberships growth, %</t>
  </si>
  <si>
    <t>Q/Q Total average paying memberships growth, %</t>
  </si>
  <si>
    <t>Y/Y Total average paying memberships growth, %</t>
  </si>
  <si>
    <t>Domestic DVD ARPU, $/Member</t>
  </si>
  <si>
    <t>Domestic DVD ARPU growth, %</t>
  </si>
  <si>
    <t>International Streaming monthly ARPU growth, %</t>
  </si>
  <si>
    <t>Streaming Content Amortization, mm</t>
  </si>
  <si>
    <t>Gross Profit, mm</t>
  </si>
  <si>
    <t>Y/Y growth in gross profit, %</t>
  </si>
  <si>
    <t>Y/Y improvement in Gross Margin, bps</t>
  </si>
  <si>
    <t>R&amp;D Expense, mm</t>
  </si>
  <si>
    <t>Y/Y growth in R&amp;D expense, %</t>
  </si>
  <si>
    <t>Y/Y improvement in R&amp;D Margin, bps</t>
  </si>
  <si>
    <t>S&amp;M Expense, mm</t>
  </si>
  <si>
    <t>Y/Y growth in S&amp;M expense, %</t>
  </si>
  <si>
    <t>Y/Y improvement in S&amp;M Margin, bps</t>
  </si>
  <si>
    <t>G&amp;A Expense, mm</t>
  </si>
  <si>
    <t>Y/Y growth in G&amp;A expense, %</t>
  </si>
  <si>
    <t>Y/Y improvement in G&amp;A Margin, bps</t>
  </si>
  <si>
    <t>EBIT, mm</t>
  </si>
  <si>
    <t>Y/Y growth in EBIT, %</t>
  </si>
  <si>
    <t>Y/Y improvement in EBIT Margin, bps</t>
  </si>
  <si>
    <t>Restated</t>
  </si>
  <si>
    <t>Other COGS, mm</t>
  </si>
  <si>
    <t>Other COGS Margin, %</t>
  </si>
  <si>
    <t>Y/Y improvement in Other COGS Margin, bps</t>
  </si>
  <si>
    <t>United States &amp; Canada Average Paying Memberships, 000s</t>
  </si>
  <si>
    <t>EMEA Average Paying Memberships, 000s</t>
  </si>
  <si>
    <t>Latin America Average Paying Memberships, 000s</t>
  </si>
  <si>
    <t>Q/Q United States &amp; Canada average paying memberships growth, %</t>
  </si>
  <si>
    <t>Y/Y United States &amp; Canada average paying memberships growth, %</t>
  </si>
  <si>
    <t>Q/Q EMEA average paying memberships growth, %</t>
  </si>
  <si>
    <t>Y/Y EMEA average paying memberships growth, %</t>
  </si>
  <si>
    <t>Q/Q Latin America average paying memberships growth, %</t>
  </si>
  <si>
    <t>Y/Y Latin America average paying memberships growth, %</t>
  </si>
  <si>
    <t>Y/Y Global streaming constant currency ARPU growth, %</t>
  </si>
  <si>
    <t>FX impact, mm</t>
  </si>
  <si>
    <t>Constant currency revenue, mm</t>
  </si>
  <si>
    <t>Y/Y Total constant currency revenue growth (calculated), %</t>
  </si>
  <si>
    <t>Asia Pacific Average Paying Memberships, 000s</t>
  </si>
  <si>
    <t>Q/Q Asia Pacific average paying memberships growth, %</t>
  </si>
  <si>
    <t>Y/Y Asia Pacific average paying memberships growth, %</t>
  </si>
  <si>
    <t>MO_MA_EBIT</t>
  </si>
  <si>
    <t>SBC expense</t>
  </si>
  <si>
    <t>SBC expense as % of revenue, %</t>
  </si>
  <si>
    <t>Balance Sheet</t>
  </si>
  <si>
    <t>Total US TV Time, %</t>
  </si>
  <si>
    <t>Key Metrics - Share of US TV Time (PR)</t>
  </si>
  <si>
    <t>Netflix streaming as % of TV time, %</t>
  </si>
  <si>
    <t>YouTube streaming as % of TV time, %</t>
  </si>
  <si>
    <t>Hulu streaming as % of TV time, %</t>
  </si>
  <si>
    <t>Prime Video streaming as % of TV time, %</t>
  </si>
  <si>
    <t>Disney + streaming as % of TV time, %</t>
  </si>
  <si>
    <t>Other streaming as % of TV time, %</t>
  </si>
  <si>
    <t>Total Streaming as % of TV time, %</t>
  </si>
  <si>
    <t>Broadcast as % of TV time, %</t>
  </si>
  <si>
    <t>Cable as % of TV time, %</t>
  </si>
  <si>
    <t>Other as % of TV time, %</t>
  </si>
  <si>
    <t>BoP United States &amp; Canada Paid Streaming Memberships, 000s</t>
  </si>
  <si>
    <t>BoP EMEA Paid Streaming Memberships, 000s</t>
  </si>
  <si>
    <t>BoP Latin America Paid Streaming Memberships, 000s</t>
  </si>
  <si>
    <t>EoP EMEA Paid Streaming Memberships, 000s</t>
  </si>
  <si>
    <t>EoP United States &amp; Canada Paid Streaming Memberships, 000s</t>
  </si>
  <si>
    <t>EoP Latin America Paid Streaming Memberships, 000s</t>
  </si>
  <si>
    <t>BoP Asia Pacific Paid Streaming Memberships, 000s</t>
  </si>
  <si>
    <t>EoP Asia Pacific Paid Streaming Memberships, 000s</t>
  </si>
  <si>
    <t>Q/Q Asia Pacific streaming revenue growth, %</t>
  </si>
  <si>
    <t>United States paid streaming memberships net additions mix, %</t>
  </si>
  <si>
    <t>Canada paid streaming memberships net additions mix, %</t>
  </si>
  <si>
    <t>Total Paid Streaming Memberships Net Additions Mix, %</t>
  </si>
  <si>
    <t>United States and Canada Paid Streaming Memberships Net Additions Mix, %</t>
  </si>
  <si>
    <t>United States &amp; Canada EOP Paid Streaming Memberships Mix, %</t>
  </si>
  <si>
    <t>EMEA EOP Paid Streaming Memberships Mix, %</t>
  </si>
  <si>
    <t>Latin America EOP Paid Streaming Memberships Mix, %</t>
  </si>
  <si>
    <t>Asia Pacific EOP Paid Streaming Memberships Mix, %</t>
  </si>
  <si>
    <t>EMEA Paid Streaming Memberships Net Additions Mix, %</t>
  </si>
  <si>
    <t>Latin America Paid Streaming Memberships Net Additions Mix, %</t>
  </si>
  <si>
    <t>Asia Pacific Paid Streaming Memberships Net Additions Mix, %</t>
  </si>
  <si>
    <t>Total Revenue Mix, %</t>
  </si>
  <si>
    <t>BoP Content Library, mm</t>
  </si>
  <si>
    <t>EoP Content Library, mm</t>
  </si>
  <si>
    <t>Operating Stats - Amortization and Content Library (FS)</t>
  </si>
  <si>
    <t>Key Metrics - Headcount (FS)</t>
  </si>
  <si>
    <t>EoP Total Global Paid Streaming Memberships, 000s</t>
  </si>
  <si>
    <t>BoP Total Global Paid Streaming Memberships, 000s</t>
  </si>
  <si>
    <t>Total paid streaming memberships net additions, 000s</t>
  </si>
  <si>
    <t>United States &amp; Canada employees, # of employees</t>
  </si>
  <si>
    <t>EMEA employees, # of employees</t>
  </si>
  <si>
    <t>Latin America employees, # of employees</t>
  </si>
  <si>
    <t>Asia Pacific employees, # of employees</t>
  </si>
  <si>
    <t>Total Full-time Employees, # of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</si>
</sst>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2">
    <numFmt numFmtId="164" formatCode="_(&quot;$&quot;* #,##0.00_);_(&quot;$&quot;* \(#,##0.00\);_(&quot;$&quot;* &quot;-&quot;??_);_(@_)"/>
    <numFmt numFmtId="165" formatCode="_(* #,##0.0_);_(* \(#,##0.0\);_(* &quot;-&quot;??_);_(@_)"/>
    <numFmt numFmtId="166" formatCode="_(&quot;$&quot;* #,##0_);_(&quot;$&quot;* \(#,##0\);_(&quot;$&quot;* &quot;-&quot;??_);_(@_)"/>
    <numFmt numFmtId="167" formatCode="_(* #,##0_);_(* \(#,##0\);_(* &quot;-&quot;??_);_(@_)"/>
    <numFmt numFmtId="168" formatCode="_(* 0.0%_);_(* \-0.0%_);_(* &quot;-&quot;??_);_(@_)"/>
    <numFmt numFmtId="169" formatCode="_(* #,##0.0_);_(* \(#,##0.0\);_(* &quot;-&quot;??_);@"/>
    <numFmt numFmtId="170" formatCode="_(&quot;$&quot;* 0.00_);_(&quot;$&quot;* \(0.00\);_(&quot;$&quot;* &quot;-&quot;??_);_(@_)"/>
    <numFmt numFmtId="171" formatCode="_(* 0.0\ \x_);\ _(* &quot;n/a&quot;_);_(* &quot;-&quot;??_);_(@_)"/>
    <numFmt numFmtId="172" formatCode=";;;"/>
    <numFmt numFmtId="173" formatCode="_(&quot;$&quot;* 0.000_);_(&quot;$&quot;* \(0.000\);_(&quot;$&quot;* &quot;-&quot;??_);_(@_)"/>
    <numFmt numFmtId="174" formatCode="_(&quot;$&quot;* #,##0.000_);_(&quot;$&quot;* \(#,##0.000\);_(&quot;$&quot;* &quot;-&quot;??_);_(@_)"/>
    <numFmt numFmtId="175" formatCode="_(* #,##0.0_);_(* \(#,##0.0\);_(* &quot;-&quot;??_);_(&quot;Bloomberg &gt;&gt; &quot;@_)"/>
    <numFmt numFmtId="176" formatCode="_(* #,##0.0_);_(* \(#,##0.0\);_(* &quot;-&quot;??_);_(&quot;Capital IQ &gt;&gt; &quot;@_)"/>
    <numFmt numFmtId="177" formatCode="_(* #,##0.0_);_(* \(#,##0.0\);_(* &quot;-&quot;??_);_(&quot;FactSet &gt;&gt; &quot;@_)"/>
    <numFmt numFmtId="178" formatCode="_(* #,##0.0_);_(* \(#,##0.0\);_(* &quot;-&quot;??_);_(&quot;Ticker :   &quot;@_)"/>
    <numFmt numFmtId="179" formatCode="_(&quot;$&quot;* 0.00_);_(&quot;$&quot;* \(0.00\);_(&quot;$&quot;* &quot;-&quot;??_);_(@\ * \ &quot;Toggle  &gt;&gt;&gt;&quot;_)"/>
    <numFmt numFmtId="180" formatCode="_(* 0.0\ &quot;yrs&quot;_);\ _(* &quot;n/a&quot;_);_(* &quot;-&quot;??_);_(@_)"/>
    <numFmt numFmtId="181" formatCode="_(* 0.0%_);_(* &quot;NMF&quot;_);_(* &quot;-&quot;??_);_(@_)"/>
    <numFmt numFmtId="182" formatCode="_(* 0.0%_);_(* &quot;n/a&quot;_);_(* &quot;-&quot;??_);_(@_)"/>
    <numFmt numFmtId="183" formatCode="_(* #,##0.0_);_(* \(#,##0.0\);_(* &quot;-&quot;??_);_(&quot;Model Sheet Currency :   &quot;@_)"/>
    <numFmt numFmtId="184" formatCode="_(* #,##0.0_);_(* \(#,##0.0\);_(* &quot;-&quot;??_);_(&quot;Canalyst Security Identification #: &quot;@_)"/>
    <numFmt numFmtId="185" formatCode="_(* #,##0.0_);_(* \(#,##0.0\);_(* &quot;-&quot;??_);_(&quot;Model Version #: &quot;@_)"/>
    <numFmt numFmtId="186" formatCode="0.0%"/>
    <numFmt numFmtId="187" formatCode="_(* #,##0.0_);_(* \(#,##0.0\);_(* &quot; - &quot;??_);_(&quot;Last Price (&quot;@&quot;) &quot;_)"/>
    <numFmt numFmtId="188" formatCode="_(* #,##0.0_);_(* \(#,##0.0\);_(* &quot;-&quot;??_);_(&quot;Real-Time Stock Price :   &quot;@_)"/>
    <numFmt numFmtId="189" formatCode="_(&quot;$&quot;* 0.00_);_(&quot;$&quot;* \(0.00\);_(&quot;$&quot;* &quot; - &quot;??_);_(@_)"/>
    <numFmt numFmtId="190" formatCode="_(* #,##0.000_);_(* \(#,##0.000\);_(* &quot;-&quot;??_);_(@_)"/>
    <numFmt numFmtId="191" formatCode="&quot;Most Recent Period:&quot;"/>
    <numFmt numFmtId="192" formatCode="yyyy\-mm\-dd"/>
    <numFmt numFmtId="193" formatCode="_(* #,##0.0_);_(* \(#,##0.0\);_(* &quot; -&quot;??_);_(&quot;Refinitiv &gt;&gt; &quot;@_)"/>
    <numFmt numFmtId="194" formatCode="_(&quot;$&quot;* #,##0.00_);_(&quot;$&quot;* \(#,##0.00\);_(&quot;$&quot;* &quot; - &quot;??_);_(@_)"/>
    <numFmt numFmtId="195" formatCode=";;"/>
  </numFmts>
  <fonts count="53" x14ac:knownFonts="1">
    <font>
      <sz val="11"/>
      <name val="Calibri"/>
      <family val="2"/>
    </font>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sz val="11"/>
      <name val="Calibri"/>
      <family val="2"/>
    </font>
    <font>
      <sz val="11"/>
      <name val="Calibri"/>
      <family val="2"/>
      <scheme val="minor"/>
    </font>
    <font>
      <sz val="11"/>
      <color rgb="FFFF0000"/>
      <name val="Calibri"/>
      <family val="2"/>
    </font>
    <font>
      <sz val="11"/>
      <color theme="0"/>
      <name val="Calibri"/>
      <family val="2"/>
      <scheme val="minor"/>
    </font>
    <font>
      <sz val="22"/>
      <color theme="1"/>
      <name val="Calibri"/>
      <family val="2"/>
      <scheme val="minor"/>
    </font>
    <font>
      <u/>
      <sz val="11"/>
      <color theme="10"/>
      <name val="Calibri"/>
      <family val="2"/>
    </font>
    <font>
      <sz val="14"/>
      <color theme="1"/>
      <name val="Calibri"/>
      <family val="2"/>
      <scheme val="minor"/>
    </font>
    <font>
      <b/>
      <sz val="11"/>
      <color rgb="FFFF0000"/>
      <name val="Calibri"/>
      <family val="2"/>
    </font>
    <font>
      <sz val="11"/>
      <color rgb="FF006100"/>
      <name val="Calibri"/>
      <family val="2"/>
      <scheme val="minor"/>
    </font>
    <font>
      <sz val="10"/>
      <color theme="1"/>
      <name val="Calibri"/>
      <family val="2"/>
      <scheme val="minor"/>
    </font>
    <font>
      <b/>
      <sz val="10"/>
      <color theme="1"/>
      <name val="Calibri"/>
      <family val="2"/>
      <scheme val="minor"/>
    </font>
    <font>
      <b/>
      <sz val="14"/>
      <color rgb="FFFF0000"/>
      <name val="Calibri"/>
      <family val="2"/>
      <scheme val="minor"/>
    </font>
    <font>
      <b/>
      <sz val="14"/>
      <color theme="1"/>
      <name val="Calibri"/>
      <family val="2"/>
      <scheme val="minor"/>
    </font>
    <font>
      <sz val="14"/>
      <name val="Calibri"/>
      <family val="2"/>
      <scheme val="minor"/>
    </font>
    <font>
      <i/>
      <sz val="11"/>
      <name val="Calibri"/>
      <family val="2"/>
    </font>
    <font>
      <sz val="11"/>
      <color rgb="FF000000"/>
      <name val="Calibri"/>
      <family val="2"/>
    </font>
    <font>
      <b/>
      <sz val="11"/>
      <color rgb="FF000000"/>
      <name val="Calibri"/>
      <family val="2"/>
    </font>
    <font>
      <b/>
      <sz val="11"/>
      <color rgb="FFFFFFFF"/>
      <name val="Calibri"/>
      <family val="2"/>
    </font>
    <font>
      <sz val="11"/>
      <color rgb="FF000000"/>
      <name val="Calibri"/>
      <family val="2"/>
      <scheme val="minor"/>
    </font>
    <font>
      <b/>
      <sz val="11"/>
      <color rgb="FF000000"/>
      <name val="Calibri"/>
      <family val="2"/>
      <scheme val="minor"/>
    </font>
    <font>
      <i/>
      <sz val="11"/>
      <color rgb="FF000000"/>
      <name val="Calibri"/>
      <family val="2"/>
    </font>
    <font>
      <u/>
      <sz val="22"/>
      <color theme="10"/>
      <name val="Calibri"/>
      <family val="2"/>
      <scheme val="minor"/>
    </font>
    <font>
      <b/>
      <i/>
      <sz val="11"/>
      <color rgb="FF000000"/>
      <name val="Calibri"/>
      <family val="2"/>
    </font>
    <font>
      <b/>
      <i/>
      <sz val="11"/>
      <color rgb="FF000000"/>
      <name val="Calibri"/>
      <family val="2"/>
      <scheme val="minor"/>
    </font>
    <font>
      <sz val="10"/>
      <color theme="0"/>
      <name val="Calibri"/>
      <family val="2"/>
      <scheme val="minor"/>
    </font>
    <font>
      <i/>
      <sz val="11"/>
      <color rgb="FF000000"/>
      <name val="Calibri"/>
      <family val="2"/>
      <scheme val="minor"/>
    </font>
    <font>
      <b/>
      <sz val="11"/>
      <color rgb="FFFFFFFF"/>
      <name val="Calibri"/>
      <family val="2"/>
      <scheme val="minor"/>
    </font>
    <font>
      <sz val="11"/>
      <color rgb="FFFFFFFF"/>
      <name val="Calibri"/>
      <family val="2"/>
    </font>
    <font>
      <sz val="11"/>
      <color theme="0" tint="-4.1749320963164159E-2"/>
      <name val="Calibri"/>
      <family val="2"/>
    </font>
    <font>
      <b/>
      <sz val="11"/>
      <color theme="0"/>
      <name val="Calibri"/>
      <family val="2"/>
    </font>
    <font>
      <sz val="11"/>
      <color rgb="FFF2F2F2"/>
      <name val="Calibri"/>
      <family val="2"/>
    </font>
    <font>
      <i/>
      <sz val="11"/>
      <color rgb="FFFF0000"/>
      <name val="Calibri"/>
      <family val="2"/>
    </font>
    <font>
      <u/>
      <sz val="11"/>
      <color rgb="FF0000FF"/>
      <name val="Calibri"/>
      <family val="2"/>
      <scheme val="minor"/>
    </font>
    <font>
      <u/>
      <sz val="22"/>
      <color rgb="FF000000"/>
      <name val="Calibri"/>
      <family val="2"/>
      <scheme val="minor"/>
    </font>
    <font>
      <u/>
      <sz val="14"/>
      <color rgb="FF0000FF"/>
      <name val="Calibri"/>
      <family val="2"/>
      <scheme val="minor"/>
    </font>
    <font>
      <b/>
      <i/>
      <sz val="11"/>
      <name val="Calibri"/>
      <family val="2"/>
    </font>
    <font>
      <b/>
      <i/>
      <sz val="11"/>
      <color rgb="FFFF0000"/>
      <name val="Calibri"/>
      <family val="2"/>
    </font>
    <font>
      <b/>
      <sz val="9"/>
      <name val="Tahoma"/>
      <family val="2"/>
    </font>
    <font>
      <sz val="9"/>
      <name val="Tahoma"/>
      <family val="2"/>
    </font>
    <font>
      <sz val="11"/>
      <color rgb="FF0000FF"/>
      <name val="Calibri"/>
      <family val="2"/>
    </font>
    <font>
      <sz val="7"/>
      <color rgb="FF000000"/>
      <name val="Calibri"/>
      <family val="2"/>
      <scheme val="minor"/>
    </font>
    <font>
      <b/>
      <sz val="7"/>
      <color rgb="FF000000"/>
      <name val="Calibri"/>
      <family val="2"/>
      <scheme val="minor"/>
    </font>
    <font>
      <u/>
      <sz val="22"/>
      <color theme="1"/>
      <name val="Calibri"/>
      <family val="2"/>
      <scheme val="minor"/>
    </font>
    <font>
      <b/>
      <i/>
      <sz val="11"/>
      <color rgb="FFFFFFFF"/>
      <name val="Calibri"/>
      <family val="2"/>
    </font>
    <font>
      <i/>
      <sz val="11"/>
      <color indexed="8"/>
      <name val="Calibri"/>
      <family val="2"/>
    </font>
    <font>
      <sz val="11"/>
      <name val="Calibri"/>
      <family val="2"/>
    </font>
    <font>
      <b/>
      <sz val="9"/>
      <name val="Tahoma"/>
      <family val="2"/>
      <charset val="1"/>
    </font>
    <font>
      <sz val="9"/>
      <name val="Tahoma"/>
      <family val="2"/>
      <charset val="1"/>
    </font>
  </fonts>
  <fills count="13">
    <fill>
      <patternFill patternType="none"/>
    </fill>
    <fill>
      <patternFill patternType="gray125"/>
    </fill>
    <fill>
      <patternFill patternType="solid">
        <fgColor rgb="FFC6EFCE"/>
        <bgColor indexed="64"/>
      </patternFill>
    </fill>
    <fill>
      <patternFill patternType="solid">
        <fgColor rgb="FFF2F2F2"/>
        <bgColor indexed="64"/>
      </patternFill>
    </fill>
    <fill>
      <patternFill patternType="solid">
        <fgColor theme="0"/>
        <bgColor indexed="64"/>
      </patternFill>
    </fill>
    <fill>
      <patternFill patternType="solid">
        <fgColor theme="0" tint="-4.1749320963164159E-2"/>
        <bgColor indexed="64"/>
      </patternFill>
    </fill>
    <fill>
      <patternFill patternType="solid">
        <fgColor rgb="FF89E0FF"/>
        <bgColor indexed="64"/>
      </patternFill>
    </fill>
    <fill>
      <patternFill patternType="solid">
        <fgColor theme="0" tint="-0.24173711355937377"/>
        <bgColor indexed="64"/>
      </patternFill>
    </fill>
    <fill>
      <patternFill patternType="solid">
        <fgColor rgb="FFFBCE20"/>
        <bgColor indexed="64"/>
      </patternFill>
    </fill>
    <fill>
      <patternFill patternType="solid">
        <fgColor rgb="FFFFFFFF"/>
        <bgColor indexed="64"/>
      </patternFill>
    </fill>
    <fill>
      <patternFill patternType="solid">
        <fgColor rgb="FF000000"/>
        <bgColor indexed="64"/>
      </patternFill>
    </fill>
    <fill>
      <patternFill patternType="solid">
        <fgColor theme="1"/>
        <bgColor indexed="64"/>
      </patternFill>
    </fill>
    <fill>
      <patternFill patternType="solid">
        <fgColor rgb="FFBFBFBF"/>
        <bgColor indexed="64"/>
      </patternFill>
    </fill>
  </fills>
  <borders count="37">
    <border>
      <left/>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rgb="FF000000"/>
      </bottom>
      <diagonal/>
    </border>
    <border>
      <left style="thin">
        <color rgb="FF000000"/>
      </left>
      <right style="thin">
        <color auto="1"/>
      </right>
      <top style="thin">
        <color auto="1"/>
      </top>
      <bottom style="thin">
        <color rgb="FF000000"/>
      </bottom>
      <diagonal/>
    </border>
    <border>
      <left/>
      <right/>
      <top style="thin">
        <color rgb="FF000000"/>
      </top>
      <bottom/>
      <diagonal/>
    </border>
    <border>
      <left style="thin">
        <color rgb="FF000000"/>
      </left>
      <right style="thin">
        <color auto="1"/>
      </right>
      <top/>
      <bottom style="thin">
        <color rgb="FF000000"/>
      </bottom>
      <diagonal/>
    </border>
    <border>
      <left style="thin">
        <color auto="1"/>
      </left>
      <right style="thin">
        <color auto="1"/>
      </right>
      <top/>
      <bottom style="thin">
        <color rgb="FF000000"/>
      </bottom>
      <diagonal/>
    </border>
    <border>
      <left style="thin">
        <color auto="1"/>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000000"/>
      </left>
      <right style="thin">
        <color rgb="FF000000"/>
      </right>
      <top/>
      <bottom style="thin">
        <color rgb="FF000000"/>
      </bottom>
      <diagonal/>
    </border>
    <border>
      <left/>
      <right style="thick">
        <color auto="1"/>
      </right>
      <top/>
      <bottom/>
      <diagonal/>
    </border>
    <border>
      <left/>
      <right style="thick">
        <color auto="1"/>
      </right>
      <top/>
      <bottom style="thin">
        <color auto="1"/>
      </bottom>
      <diagonal/>
    </border>
    <border>
      <left/>
      <right style="thick">
        <color auto="1"/>
      </right>
      <top style="thin">
        <color auto="1"/>
      </top>
      <bottom/>
      <diagonal/>
    </border>
    <border>
      <left/>
      <right style="thick">
        <color auto="1"/>
      </right>
      <top/>
      <bottom style="thin">
        <color rgb="FF000000"/>
      </bottom>
      <diagonal/>
    </border>
    <border>
      <left/>
      <right style="thick">
        <color auto="1"/>
      </right>
      <top style="thin">
        <color rgb="FF000000"/>
      </top>
      <bottom style="thin">
        <color rgb="FF000000"/>
      </bottom>
      <diagonal/>
    </border>
    <border>
      <left/>
      <right style="thick">
        <color auto="1"/>
      </right>
      <top style="thin">
        <color rgb="FF000000"/>
      </top>
      <bottom/>
      <diagonal/>
    </border>
    <border>
      <left style="thin">
        <color rgb="FF000000"/>
      </left>
      <right style="thin">
        <color rgb="FF000000"/>
      </right>
      <top style="thin">
        <color rgb="FF000000"/>
      </top>
      <bottom style="thin">
        <color rgb="FF000000"/>
      </bottom>
      <diagonal/>
    </border>
    <border>
      <left/>
      <right style="thick">
        <color auto="1"/>
      </right>
      <top style="thin">
        <color auto="1"/>
      </top>
      <bottom style="thin">
        <color auto="1"/>
      </bottom>
      <diagonal/>
    </border>
  </borders>
  <cellStyleXfs count="17">
    <xf numFmtId="0" fontId="0" fillId="0" borderId="0"/>
    <xf numFmtId="9" fontId="50" fillId="0" borderId="0"/>
    <xf numFmtId="164" fontId="50" fillId="0" borderId="0"/>
    <xf numFmtId="164" fontId="1" fillId="0" borderId="0"/>
    <xf numFmtId="164" fontId="50" fillId="0" borderId="0"/>
    <xf numFmtId="0" fontId="13" fillId="2" borderId="0"/>
    <xf numFmtId="0" fontId="3" fillId="0" borderId="0"/>
    <xf numFmtId="0" fontId="10" fillId="0" borderId="0">
      <alignment vertical="top"/>
      <protection locked="0"/>
    </xf>
    <xf numFmtId="0" fontId="1" fillId="0" borderId="0"/>
    <xf numFmtId="0" fontId="1" fillId="0" borderId="0"/>
    <xf numFmtId="0" fontId="50" fillId="0" borderId="0"/>
    <xf numFmtId="9" fontId="1" fillId="0" borderId="0"/>
    <xf numFmtId="164" fontId="1" fillId="0" borderId="0"/>
    <xf numFmtId="0" fontId="1" fillId="0" borderId="0"/>
    <xf numFmtId="0" fontId="1" fillId="0" borderId="0"/>
    <xf numFmtId="9" fontId="1" fillId="0" borderId="0"/>
    <xf numFmtId="164" fontId="50" fillId="0" borderId="0"/>
  </cellStyleXfs>
  <cellXfs count="970">
    <xf numFmtId="0" fontId="0" fillId="0" borderId="0" xfId="0" applyNumberFormat="1" applyFont="1" applyFill="1" applyBorder="1"/>
    <xf numFmtId="0" fontId="39" fillId="3" borderId="0" xfId="6" applyFont="1" applyFill="1"/>
    <xf numFmtId="0" fontId="1" fillId="0" borderId="1" xfId="9" applyNumberFormat="1" applyFont="1" applyFill="1" applyBorder="1" applyAlignment="1">
      <alignment vertical="top" wrapText="1"/>
    </xf>
    <xf numFmtId="0" fontId="1" fillId="0" borderId="2" xfId="9" applyNumberFormat="1" applyFont="1" applyFill="1" applyBorder="1" applyAlignment="1">
      <alignment vertical="top" wrapText="1"/>
    </xf>
    <xf numFmtId="0" fontId="1" fillId="0" borderId="3" xfId="9" applyNumberFormat="1" applyFont="1" applyFill="1" applyBorder="1" applyAlignment="1">
      <alignment vertical="top" wrapText="1"/>
    </xf>
    <xf numFmtId="0" fontId="1" fillId="0" borderId="4" xfId="9" applyNumberFormat="1" applyFont="1" applyFill="1" applyBorder="1" applyAlignment="1">
      <alignment vertical="top" wrapText="1"/>
    </xf>
    <xf numFmtId="0" fontId="1" fillId="0" borderId="0" xfId="9" applyNumberFormat="1" applyFont="1" applyFill="1" applyBorder="1" applyAlignment="1">
      <alignment vertical="top" wrapText="1"/>
    </xf>
    <xf numFmtId="0" fontId="1" fillId="0" borderId="5" xfId="9" applyNumberFormat="1" applyFont="1" applyFill="1" applyBorder="1" applyAlignment="1">
      <alignment vertical="top" wrapText="1"/>
    </xf>
    <xf numFmtId="0" fontId="1" fillId="0" borderId="6" xfId="9" applyNumberFormat="1" applyFont="1" applyFill="1" applyBorder="1" applyAlignment="1">
      <alignment vertical="top" wrapText="1"/>
    </xf>
    <xf numFmtId="0" fontId="1" fillId="0" borderId="7" xfId="9" applyNumberFormat="1" applyFont="1" applyFill="1" applyBorder="1" applyAlignment="1">
      <alignment vertical="top" wrapText="1"/>
    </xf>
    <xf numFmtId="0" fontId="45" fillId="0" borderId="8" xfId="9" applyNumberFormat="1" applyFont="1" applyFill="1" applyBorder="1" applyAlignment="1">
      <alignment vertical="top" wrapText="1"/>
    </xf>
    <xf numFmtId="0" fontId="1" fillId="4" borderId="0" xfId="9" quotePrefix="1" applyFont="1" applyFill="1" applyAlignment="1">
      <alignment horizontal="left" vertical="top" wrapText="1"/>
    </xf>
    <xf numFmtId="0" fontId="9" fillId="5" borderId="0" xfId="9" applyNumberFormat="1" applyFont="1" applyFill="1" applyBorder="1" applyAlignment="1">
      <alignment horizontal="center"/>
    </xf>
    <xf numFmtId="0" fontId="1" fillId="0" borderId="0" xfId="9" applyNumberFormat="1" applyFont="1" applyFill="1" applyBorder="1"/>
    <xf numFmtId="0" fontId="0" fillId="0" borderId="0" xfId="10" applyNumberFormat="1" applyFont="1" applyFill="1" applyBorder="1"/>
    <xf numFmtId="168" fontId="5" fillId="6" borderId="0" xfId="0" applyNumberFormat="1" applyFont="1" applyFill="1" applyBorder="1" applyAlignment="1">
      <alignment horizontal="right"/>
    </xf>
    <xf numFmtId="168" fontId="5" fillId="6" borderId="0" xfId="0" applyNumberFormat="1" applyFont="1" applyFill="1" applyBorder="1"/>
    <xf numFmtId="170" fontId="0" fillId="6" borderId="0" xfId="0" applyNumberFormat="1" applyFont="1" applyFill="1" applyBorder="1"/>
    <xf numFmtId="170" fontId="5" fillId="6" borderId="0" xfId="0" applyNumberFormat="1" applyFont="1" applyFill="1" applyBorder="1"/>
    <xf numFmtId="170" fontId="5" fillId="6" borderId="0" xfId="2" applyNumberFormat="1" applyFont="1" applyFill="1" applyBorder="1" applyAlignment="1">
      <alignment horizontal="right" indent="1"/>
    </xf>
    <xf numFmtId="170" fontId="5" fillId="6" borderId="0" xfId="2" applyNumberFormat="1" applyFont="1" applyFill="1" applyBorder="1"/>
    <xf numFmtId="0" fontId="1" fillId="4" borderId="0" xfId="9" applyNumberFormat="1" applyFont="1" applyFill="1" applyBorder="1"/>
    <xf numFmtId="0" fontId="1" fillId="5" borderId="0" xfId="9" applyNumberFormat="1" applyFont="1" applyFill="1" applyBorder="1"/>
    <xf numFmtId="0" fontId="1" fillId="5" borderId="0" xfId="9" applyNumberFormat="1" applyFont="1" applyFill="1" applyBorder="1"/>
    <xf numFmtId="0" fontId="1" fillId="0" borderId="0" xfId="9" applyNumberFormat="1" applyFont="1" applyFill="1" applyBorder="1"/>
    <xf numFmtId="0" fontId="1" fillId="0" borderId="0" xfId="9" applyNumberFormat="1" applyFont="1" applyFill="1" applyBorder="1"/>
    <xf numFmtId="0" fontId="14" fillId="5" borderId="0" xfId="9" applyNumberFormat="1" applyFont="1" applyFill="1" applyBorder="1"/>
    <xf numFmtId="0" fontId="15" fillId="5" borderId="0" xfId="9" applyNumberFormat="1" applyFont="1" applyFill="1" applyBorder="1"/>
    <xf numFmtId="1" fontId="14" fillId="5" borderId="0" xfId="9" applyNumberFormat="1" applyFont="1" applyFill="1" applyBorder="1" applyAlignment="1">
      <alignment horizontal="center"/>
    </xf>
    <xf numFmtId="0" fontId="11" fillId="5" borderId="0" xfId="9" applyNumberFormat="1" applyFont="1" applyFill="1" applyBorder="1"/>
    <xf numFmtId="1" fontId="16" fillId="7" borderId="0" xfId="9" applyNumberFormat="1" applyFont="1" applyFill="1" applyBorder="1" applyAlignment="1">
      <alignment horizontal="center" vertical="center"/>
    </xf>
    <xf numFmtId="0" fontId="1" fillId="5" borderId="0" xfId="9" applyNumberFormat="1" applyFont="1" applyFill="1" applyBorder="1" applyAlignment="1">
      <alignment vertical="center"/>
    </xf>
    <xf numFmtId="0" fontId="17" fillId="5" borderId="0" xfId="9" applyNumberFormat="1" applyFont="1" applyFill="1" applyBorder="1" applyAlignment="1">
      <alignment vertical="center"/>
    </xf>
    <xf numFmtId="14" fontId="11" fillId="8" borderId="0" xfId="9" applyNumberFormat="1" applyFont="1" applyFill="1" applyBorder="1" applyAlignment="1">
      <alignment horizontal="center" vertical="center"/>
    </xf>
    <xf numFmtId="0" fontId="11" fillId="5" borderId="0" xfId="9" applyNumberFormat="1" applyFont="1" applyFill="1" applyBorder="1" applyAlignment="1">
      <alignment horizontal="center"/>
    </xf>
    <xf numFmtId="0" fontId="1" fillId="4" borderId="0" xfId="9" applyNumberFormat="1" applyFont="1" applyFill="1" applyBorder="1"/>
    <xf numFmtId="0" fontId="6" fillId="4" borderId="9" xfId="9" applyNumberFormat="1" applyFont="1" applyFill="1" applyBorder="1" applyAlignment="1">
      <alignment horizontal="center"/>
    </xf>
    <xf numFmtId="14" fontId="6" fillId="4" borderId="9" xfId="9" applyNumberFormat="1" applyFont="1" applyFill="1" applyBorder="1" applyAlignment="1">
      <alignment horizontal="center"/>
    </xf>
    <xf numFmtId="0" fontId="11" fillId="0" borderId="0" xfId="9" applyNumberFormat="1" applyFont="1" applyFill="1" applyBorder="1" applyAlignment="1">
      <alignment vertical="center"/>
    </xf>
    <xf numFmtId="171" fontId="5" fillId="6" borderId="0" xfId="0" applyNumberFormat="1" applyFont="1" applyFill="1" applyBorder="1" applyAlignment="1">
      <alignment horizontal="right"/>
    </xf>
    <xf numFmtId="171" fontId="0" fillId="6" borderId="0" xfId="0" applyNumberFormat="1" applyFont="1" applyFill="1" applyBorder="1" applyAlignment="1">
      <alignment horizontal="right"/>
    </xf>
    <xf numFmtId="0" fontId="11" fillId="5" borderId="0" xfId="9" applyNumberFormat="1" applyFont="1" applyFill="1" applyBorder="1" applyAlignment="1">
      <alignment vertical="center"/>
    </xf>
    <xf numFmtId="168" fontId="12" fillId="6" borderId="0" xfId="0" applyNumberFormat="1" applyFont="1" applyFill="1" applyBorder="1" applyAlignment="1">
      <alignment horizontal="right"/>
    </xf>
    <xf numFmtId="0" fontId="0" fillId="0" borderId="0" xfId="0" applyNumberFormat="1" applyFont="1" applyFill="1" applyBorder="1"/>
    <xf numFmtId="173" fontId="0" fillId="6" borderId="0" xfId="0" applyNumberFormat="1" applyFont="1" applyFill="1" applyBorder="1"/>
    <xf numFmtId="168" fontId="0" fillId="6" borderId="0" xfId="0" applyNumberFormat="1" applyFont="1" applyFill="1" applyBorder="1"/>
    <xf numFmtId="168" fontId="0" fillId="6" borderId="0" xfId="0" applyNumberFormat="1" applyFont="1" applyFill="1" applyBorder="1" applyAlignment="1">
      <alignment horizontal="right"/>
    </xf>
    <xf numFmtId="168" fontId="0" fillId="6" borderId="2" xfId="0" applyNumberFormat="1" applyFont="1" applyFill="1" applyBorder="1" applyAlignment="1">
      <alignment horizontal="right"/>
    </xf>
    <xf numFmtId="173" fontId="7" fillId="6" borderId="0" xfId="0" applyNumberFormat="1" applyFont="1" applyFill="1" applyBorder="1"/>
    <xf numFmtId="168" fontId="12" fillId="6" borderId="0" xfId="0" applyNumberFormat="1" applyFont="1" applyFill="1" applyBorder="1"/>
    <xf numFmtId="168" fontId="5" fillId="6" borderId="7" xfId="0" applyNumberFormat="1" applyFont="1" applyFill="1" applyBorder="1" applyAlignment="1">
      <alignment horizontal="right"/>
    </xf>
    <xf numFmtId="0" fontId="17" fillId="5" borderId="0" xfId="9" applyNumberFormat="1" applyFont="1" applyFill="1" applyBorder="1" applyAlignment="1">
      <alignment horizontal="center" vertical="center"/>
    </xf>
    <xf numFmtId="0" fontId="18" fillId="8" borderId="0" xfId="9" applyNumberFormat="1" applyFont="1" applyFill="1" applyBorder="1" applyAlignment="1">
      <alignment horizontal="center" vertical="center"/>
    </xf>
    <xf numFmtId="0" fontId="1" fillId="5" borderId="0" xfId="9" applyNumberFormat="1" applyFont="1" applyFill="1" applyBorder="1" applyAlignment="1">
      <alignment vertical="center"/>
    </xf>
    <xf numFmtId="0" fontId="15" fillId="5" borderId="0" xfId="9" quotePrefix="1" applyNumberFormat="1" applyFont="1" applyFill="1" applyBorder="1"/>
    <xf numFmtId="0" fontId="17" fillId="5" borderId="0" xfId="9" applyNumberFormat="1" applyFont="1" applyFill="1" applyBorder="1"/>
    <xf numFmtId="180" fontId="21" fillId="6" borderId="0" xfId="0" applyNumberFormat="1" applyFont="1" applyFill="1" applyBorder="1"/>
    <xf numFmtId="0" fontId="0" fillId="0" borderId="0" xfId="0" applyNumberFormat="1" applyFont="1" applyFill="1" applyBorder="1"/>
    <xf numFmtId="0" fontId="5" fillId="0" borderId="0" xfId="0" applyNumberFormat="1" applyFont="1" applyFill="1" applyBorder="1"/>
    <xf numFmtId="168" fontId="5" fillId="9" borderId="7" xfId="0" applyNumberFormat="1" applyFont="1" applyFill="1" applyBorder="1" applyAlignment="1">
      <alignment horizontal="left"/>
    </xf>
    <xf numFmtId="168" fontId="5" fillId="9" borderId="0" xfId="0" applyNumberFormat="1" applyFont="1" applyFill="1" applyBorder="1" applyAlignment="1">
      <alignment horizontal="right"/>
    </xf>
    <xf numFmtId="165" fontId="5" fillId="9" borderId="7" xfId="0" applyNumberFormat="1" applyFont="1" applyFill="1" applyBorder="1" applyAlignment="1">
      <alignment horizontal="left"/>
    </xf>
    <xf numFmtId="165" fontId="5" fillId="9" borderId="0" xfId="0" applyNumberFormat="1" applyFont="1" applyFill="1" applyBorder="1" applyAlignment="1">
      <alignment horizontal="left" indent="1"/>
    </xf>
    <xf numFmtId="165" fontId="5" fillId="9" borderId="0" xfId="0" applyNumberFormat="1" applyFont="1" applyFill="1" applyBorder="1" applyAlignment="1">
      <alignment horizontal="left"/>
    </xf>
    <xf numFmtId="180" fontId="21" fillId="9" borderId="0" xfId="0" applyNumberFormat="1" applyFont="1" applyFill="1" applyBorder="1" applyAlignment="1">
      <alignment horizontal="left"/>
    </xf>
    <xf numFmtId="165" fontId="0" fillId="9" borderId="0" xfId="0" applyNumberFormat="1" applyFont="1" applyFill="1" applyBorder="1" applyAlignment="1">
      <alignment horizontal="left"/>
    </xf>
    <xf numFmtId="168" fontId="0" fillId="9" borderId="2" xfId="0" applyNumberFormat="1" applyFont="1" applyFill="1" applyBorder="1" applyAlignment="1">
      <alignment horizontal="left" indent="2"/>
    </xf>
    <xf numFmtId="168" fontId="0" fillId="9" borderId="0" xfId="0" applyNumberFormat="1" applyFont="1" applyFill="1" applyBorder="1"/>
    <xf numFmtId="165" fontId="5" fillId="9" borderId="7" xfId="0" applyNumberFormat="1" applyFont="1" applyFill="1" applyBorder="1" applyAlignment="1">
      <alignment horizontal="left" indent="1"/>
    </xf>
    <xf numFmtId="165" fontId="5" fillId="9" borderId="10" xfId="0" applyNumberFormat="1" applyFont="1" applyFill="1" applyBorder="1" applyAlignment="1">
      <alignment horizontal="left"/>
    </xf>
    <xf numFmtId="168" fontId="5" fillId="9" borderId="0" xfId="0" applyNumberFormat="1" applyFont="1" applyFill="1" applyBorder="1"/>
    <xf numFmtId="170" fontId="2" fillId="9" borderId="0" xfId="2" applyNumberFormat="1" applyFont="1" applyFill="1" applyBorder="1"/>
    <xf numFmtId="170" fontId="2" fillId="9" borderId="0" xfId="0" applyNumberFormat="1" applyFont="1" applyFill="1" applyBorder="1" applyAlignment="1">
      <alignment horizontal="left"/>
    </xf>
    <xf numFmtId="165" fontId="2" fillId="9" borderId="0" xfId="0" applyNumberFormat="1" applyFont="1" applyFill="1" applyBorder="1"/>
    <xf numFmtId="171" fontId="2" fillId="9" borderId="0" xfId="0" applyNumberFormat="1" applyFont="1" applyFill="1" applyBorder="1"/>
    <xf numFmtId="168" fontId="0" fillId="9" borderId="0" xfId="0" applyNumberFormat="1" applyFont="1" applyFill="1" applyBorder="1" applyAlignment="1">
      <alignment horizontal="left"/>
    </xf>
    <xf numFmtId="165" fontId="0" fillId="9" borderId="0" xfId="0" applyNumberFormat="1" applyFont="1" applyFill="1" applyBorder="1" applyAlignment="1">
      <alignment horizontal="left" indent="2"/>
    </xf>
    <xf numFmtId="0" fontId="2" fillId="9" borderId="0" xfId="0" applyNumberFormat="1" applyFont="1" applyFill="1" applyBorder="1" applyAlignment="1">
      <alignment horizontal="center"/>
    </xf>
    <xf numFmtId="168" fontId="5" fillId="9" borderId="7" xfId="0" applyNumberFormat="1" applyFont="1" applyFill="1" applyBorder="1" applyAlignment="1">
      <alignment horizontal="right"/>
    </xf>
    <xf numFmtId="170" fontId="0" fillId="9" borderId="0" xfId="0" applyNumberFormat="1" applyFont="1" applyFill="1" applyBorder="1"/>
    <xf numFmtId="180" fontId="21" fillId="9" borderId="0" xfId="0" applyNumberFormat="1" applyFont="1" applyFill="1" applyBorder="1"/>
    <xf numFmtId="168" fontId="0" fillId="9" borderId="2" xfId="0" applyNumberFormat="1" applyFont="1" applyFill="1" applyBorder="1" applyAlignment="1">
      <alignment horizontal="right"/>
    </xf>
    <xf numFmtId="168" fontId="0" fillId="9" borderId="0" xfId="0" applyNumberFormat="1" applyFont="1" applyFill="1" applyBorder="1" applyAlignment="1">
      <alignment horizontal="right"/>
    </xf>
    <xf numFmtId="170" fontId="5" fillId="9" borderId="0" xfId="0" applyNumberFormat="1" applyFont="1" applyFill="1" applyBorder="1"/>
    <xf numFmtId="170" fontId="19" fillId="9" borderId="0" xfId="0" applyNumberFormat="1" applyFont="1" applyFill="1" applyBorder="1"/>
    <xf numFmtId="170" fontId="5" fillId="9" borderId="0" xfId="2" applyNumberFormat="1" applyFont="1" applyFill="1" applyBorder="1"/>
    <xf numFmtId="173" fontId="0" fillId="9" borderId="0" xfId="0" applyNumberFormat="1" applyFont="1" applyFill="1" applyBorder="1"/>
    <xf numFmtId="168" fontId="12" fillId="9" borderId="0" xfId="0" applyNumberFormat="1" applyFont="1" applyFill="1" applyBorder="1" applyAlignment="1">
      <alignment horizontal="right"/>
    </xf>
    <xf numFmtId="168" fontId="22" fillId="10" borderId="0" xfId="0" applyNumberFormat="1" applyFont="1" applyFill="1" applyBorder="1"/>
    <xf numFmtId="167" fontId="5" fillId="9" borderId="0" xfId="0" applyNumberFormat="1" applyFont="1" applyFill="1" applyBorder="1"/>
    <xf numFmtId="0" fontId="24" fillId="9" borderId="0" xfId="0" applyNumberFormat="1" applyFont="1" applyFill="1" applyBorder="1" applyAlignment="1">
      <alignment horizontal="center"/>
    </xf>
    <xf numFmtId="168" fontId="20" fillId="6" borderId="0" xfId="0" applyNumberFormat="1" applyFont="1" applyFill="1" applyBorder="1" applyAlignment="1">
      <alignment horizontal="right"/>
    </xf>
    <xf numFmtId="168" fontId="21" fillId="9" borderId="7" xfId="0" applyNumberFormat="1" applyFont="1" applyFill="1" applyBorder="1" applyAlignment="1">
      <alignment horizontal="right"/>
    </xf>
    <xf numFmtId="168" fontId="21" fillId="6" borderId="7" xfId="0" applyNumberFormat="1" applyFont="1" applyFill="1" applyBorder="1" applyAlignment="1">
      <alignment horizontal="right"/>
    </xf>
    <xf numFmtId="170" fontId="20" fillId="6" borderId="0" xfId="0" applyNumberFormat="1" applyFont="1" applyFill="1" applyBorder="1"/>
    <xf numFmtId="168" fontId="21" fillId="9" borderId="0" xfId="0" applyNumberFormat="1" applyFont="1" applyFill="1" applyBorder="1" applyAlignment="1">
      <alignment horizontal="right"/>
    </xf>
    <xf numFmtId="168" fontId="21" fillId="6" borderId="0" xfId="0" applyNumberFormat="1" applyFont="1" applyFill="1" applyBorder="1" applyAlignment="1">
      <alignment horizontal="right"/>
    </xf>
    <xf numFmtId="168" fontId="20" fillId="6" borderId="2" xfId="0" applyNumberFormat="1" applyFont="1" applyFill="1" applyBorder="1" applyAlignment="1">
      <alignment horizontal="right"/>
    </xf>
    <xf numFmtId="168" fontId="21" fillId="6" borderId="0" xfId="0" applyNumberFormat="1" applyFont="1" applyFill="1" applyBorder="1"/>
    <xf numFmtId="170" fontId="21" fillId="6" borderId="0" xfId="0" applyNumberFormat="1" applyFont="1" applyFill="1" applyBorder="1"/>
    <xf numFmtId="170" fontId="25" fillId="6" borderId="0" xfId="0" applyNumberFormat="1" applyFont="1" applyFill="1" applyBorder="1" applyAlignment="1">
      <alignment horizontal="right"/>
    </xf>
    <xf numFmtId="170" fontId="21" fillId="6" borderId="0" xfId="2" applyNumberFormat="1" applyFont="1" applyFill="1" applyBorder="1"/>
    <xf numFmtId="173" fontId="20" fillId="6" borderId="0" xfId="0" applyNumberFormat="1" applyFont="1" applyFill="1" applyBorder="1"/>
    <xf numFmtId="171" fontId="21" fillId="6" borderId="0" xfId="0" applyNumberFormat="1" applyFont="1" applyFill="1" applyBorder="1" applyAlignment="1">
      <alignment horizontal="right"/>
    </xf>
    <xf numFmtId="171" fontId="20" fillId="6" borderId="0" xfId="0" applyNumberFormat="1" applyFont="1" applyFill="1" applyBorder="1" applyAlignment="1">
      <alignment horizontal="right"/>
    </xf>
    <xf numFmtId="169" fontId="26" fillId="9" borderId="0" xfId="6" applyNumberFormat="1" applyFont="1" applyFill="1" applyBorder="1" applyAlignment="1">
      <alignment horizontal="left"/>
    </xf>
    <xf numFmtId="165" fontId="23" fillId="2" borderId="0" xfId="5" applyNumberFormat="1" applyFont="1" applyFill="1" applyBorder="1"/>
    <xf numFmtId="168" fontId="0" fillId="4" borderId="0" xfId="10" applyNumberFormat="1" applyFont="1" applyFill="1" applyBorder="1"/>
    <xf numFmtId="0" fontId="0" fillId="4" borderId="0" xfId="10" applyNumberFormat="1" applyFont="1" applyFill="1" applyBorder="1"/>
    <xf numFmtId="0" fontId="1" fillId="4" borderId="9" xfId="9" applyNumberFormat="1" applyFont="1" applyFill="1" applyBorder="1" applyAlignment="1">
      <alignment horizontal="center"/>
    </xf>
    <xf numFmtId="0" fontId="4" fillId="9" borderId="0" xfId="0" applyNumberFormat="1" applyFont="1" applyFill="1" applyBorder="1" applyAlignment="1">
      <alignment horizontal="center"/>
    </xf>
    <xf numFmtId="171" fontId="5" fillId="9" borderId="0" xfId="0" applyNumberFormat="1" applyFont="1" applyFill="1" applyBorder="1"/>
    <xf numFmtId="171" fontId="0" fillId="9" borderId="0" xfId="0" applyNumberFormat="1" applyFont="1" applyFill="1" applyBorder="1"/>
    <xf numFmtId="165" fontId="0" fillId="9" borderId="2" xfId="0" applyNumberFormat="1" applyFont="1" applyFill="1" applyBorder="1" applyAlignment="1">
      <alignment horizontal="left" indent="1"/>
    </xf>
    <xf numFmtId="1" fontId="5" fillId="9" borderId="0" xfId="0" applyNumberFormat="1" applyFont="1" applyFill="1" applyBorder="1" applyAlignment="1">
      <alignment horizontal="center"/>
    </xf>
    <xf numFmtId="1" fontId="21" fillId="9" borderId="0" xfId="0" applyNumberFormat="1" applyFont="1" applyFill="1" applyBorder="1" applyAlignment="1">
      <alignment horizontal="center"/>
    </xf>
    <xf numFmtId="17" fontId="6" fillId="9" borderId="0" xfId="0" applyNumberFormat="1" applyFont="1" applyFill="1" applyBorder="1" applyAlignment="1">
      <alignment horizontal="center"/>
    </xf>
    <xf numFmtId="17" fontId="23" fillId="9" borderId="0" xfId="0" applyNumberFormat="1" applyFont="1" applyFill="1" applyBorder="1" applyAlignment="1">
      <alignment horizontal="center"/>
    </xf>
    <xf numFmtId="165" fontId="24" fillId="9" borderId="0" xfId="10" applyNumberFormat="1" applyFont="1" applyFill="1" applyBorder="1" applyAlignment="1">
      <alignment horizontal="center"/>
    </xf>
    <xf numFmtId="170" fontId="21" fillId="6" borderId="0" xfId="10" applyNumberFormat="1" applyFont="1" applyFill="1" applyBorder="1"/>
    <xf numFmtId="170" fontId="21" fillId="9" borderId="0" xfId="10" applyNumberFormat="1" applyFont="1" applyFill="1" applyBorder="1"/>
    <xf numFmtId="168" fontId="21" fillId="6" borderId="0" xfId="10" applyNumberFormat="1" applyFont="1" applyFill="1" applyBorder="1" applyAlignment="1">
      <alignment horizontal="center"/>
    </xf>
    <xf numFmtId="168" fontId="21" fillId="9" borderId="0" xfId="10" applyNumberFormat="1" applyFont="1" applyFill="1" applyBorder="1" applyAlignment="1">
      <alignment horizontal="center"/>
    </xf>
    <xf numFmtId="168" fontId="20" fillId="9" borderId="0" xfId="10" applyNumberFormat="1" applyFont="1" applyFill="1" applyBorder="1" applyAlignment="1">
      <alignment horizontal="center"/>
    </xf>
    <xf numFmtId="168" fontId="20" fillId="6" borderId="0" xfId="10" applyNumberFormat="1" applyFont="1" applyFill="1" applyBorder="1"/>
    <xf numFmtId="168" fontId="20" fillId="6" borderId="0" xfId="10" applyNumberFormat="1" applyFont="1" applyFill="1" applyBorder="1" applyAlignment="1">
      <alignment horizontal="right"/>
    </xf>
    <xf numFmtId="168" fontId="20" fillId="9" borderId="0" xfId="10" applyNumberFormat="1" applyFont="1" applyFill="1" applyBorder="1" applyAlignment="1">
      <alignment horizontal="right"/>
    </xf>
    <xf numFmtId="168" fontId="21" fillId="6" borderId="0" xfId="10" applyNumberFormat="1" applyFont="1" applyFill="1" applyBorder="1" applyAlignment="1">
      <alignment horizontal="right"/>
    </xf>
    <xf numFmtId="168" fontId="21" fillId="9" borderId="0" xfId="10" applyNumberFormat="1" applyFont="1" applyFill="1" applyBorder="1" applyAlignment="1">
      <alignment horizontal="right"/>
    </xf>
    <xf numFmtId="181" fontId="21" fillId="6" borderId="0" xfId="10" applyNumberFormat="1" applyFont="1" applyFill="1" applyBorder="1" applyAlignment="1">
      <alignment horizontal="right"/>
    </xf>
    <xf numFmtId="181" fontId="21" fillId="9" borderId="0" xfId="10" applyNumberFormat="1" applyFont="1" applyFill="1" applyBorder="1" applyAlignment="1">
      <alignment horizontal="right"/>
    </xf>
    <xf numFmtId="171" fontId="21" fillId="9" borderId="0" xfId="10" applyNumberFormat="1" applyFont="1" applyFill="1" applyBorder="1" applyAlignment="1">
      <alignment horizontal="right"/>
    </xf>
    <xf numFmtId="171" fontId="21" fillId="9" borderId="0" xfId="10" applyNumberFormat="1" applyFont="1" applyFill="1" applyBorder="1"/>
    <xf numFmtId="182" fontId="21" fillId="9" borderId="0" xfId="10" applyNumberFormat="1" applyFont="1" applyFill="1" applyBorder="1" applyAlignment="1">
      <alignment horizontal="right"/>
    </xf>
    <xf numFmtId="171" fontId="20" fillId="6" borderId="0" xfId="10" applyNumberFormat="1" applyFont="1" applyFill="1" applyBorder="1" applyAlignment="1">
      <alignment horizontal="right"/>
    </xf>
    <xf numFmtId="171" fontId="20" fillId="9" borderId="0" xfId="10" applyNumberFormat="1" applyFont="1" applyFill="1" applyBorder="1" applyAlignment="1">
      <alignment horizontal="right"/>
    </xf>
    <xf numFmtId="171" fontId="20" fillId="9" borderId="0" xfId="10" applyNumberFormat="1" applyFont="1" applyFill="1" applyBorder="1"/>
    <xf numFmtId="0" fontId="3" fillId="4" borderId="9" xfId="6" applyNumberFormat="1" applyFont="1" applyFill="1" applyBorder="1" applyAlignment="1">
      <alignment horizontal="left"/>
    </xf>
    <xf numFmtId="180" fontId="5" fillId="9" borderId="0" xfId="0" applyNumberFormat="1" applyFont="1" applyFill="1" applyBorder="1"/>
    <xf numFmtId="0" fontId="14" fillId="5" borderId="0" xfId="9" applyNumberFormat="1" applyFont="1" applyFill="1" applyBorder="1" applyAlignment="1">
      <alignment horizontal="left" wrapText="1" indent="1"/>
    </xf>
    <xf numFmtId="0" fontId="14" fillId="0" borderId="0" xfId="9" applyNumberFormat="1" applyFont="1" applyFill="1" applyBorder="1"/>
    <xf numFmtId="0" fontId="14" fillId="0" borderId="0" xfId="9" applyNumberFormat="1" applyFont="1" applyFill="1" applyBorder="1"/>
    <xf numFmtId="183" fontId="2" fillId="9" borderId="0" xfId="0" applyNumberFormat="1" applyFont="1" applyFill="1" applyBorder="1"/>
    <xf numFmtId="0" fontId="29" fillId="5" borderId="0" xfId="9" applyNumberFormat="1" applyFont="1" applyFill="1" applyBorder="1" applyAlignment="1">
      <alignment horizontal="center"/>
    </xf>
    <xf numFmtId="184" fontId="2" fillId="5" borderId="0" xfId="9" applyNumberFormat="1" applyFont="1" applyFill="1" applyBorder="1" applyAlignment="1">
      <alignment horizontal="right"/>
    </xf>
    <xf numFmtId="0" fontId="1" fillId="4" borderId="9" xfId="9" applyNumberFormat="1" applyFont="1" applyFill="1" applyBorder="1" applyAlignment="1">
      <alignment horizontal="center"/>
    </xf>
    <xf numFmtId="170" fontId="30" fillId="9" borderId="0" xfId="0" applyNumberFormat="1" applyFont="1" applyFill="1" applyBorder="1" applyAlignment="1">
      <alignment horizontal="left" indent="1"/>
    </xf>
    <xf numFmtId="170" fontId="25" fillId="6" borderId="0" xfId="0" applyNumberFormat="1" applyFont="1" applyFill="1" applyBorder="1"/>
    <xf numFmtId="170" fontId="25" fillId="9" borderId="0" xfId="0" applyNumberFormat="1" applyFont="1" applyFill="1" applyBorder="1"/>
    <xf numFmtId="170" fontId="30" fillId="9" borderId="0" xfId="0" applyNumberFormat="1" applyFont="1" applyFill="1" applyBorder="1"/>
    <xf numFmtId="170" fontId="30" fillId="9" borderId="0" xfId="2" applyNumberFormat="1" applyFont="1" applyFill="1" applyBorder="1"/>
    <xf numFmtId="168" fontId="19" fillId="9" borderId="0" xfId="0" applyNumberFormat="1" applyFont="1" applyFill="1" applyBorder="1" applyAlignment="1">
      <alignment horizontal="left" indent="1"/>
    </xf>
    <xf numFmtId="168" fontId="25" fillId="6" borderId="0" xfId="0" applyNumberFormat="1" applyFont="1" applyFill="1" applyBorder="1" applyAlignment="1">
      <alignment horizontal="left" indent="1"/>
    </xf>
    <xf numFmtId="180" fontId="21" fillId="9" borderId="0" xfId="0" applyNumberFormat="1" applyFont="1" applyFill="1" applyBorder="1" applyAlignment="1">
      <alignment horizontal="left" indent="4"/>
    </xf>
    <xf numFmtId="165" fontId="0" fillId="9" borderId="0" xfId="0" applyNumberFormat="1" applyFont="1" applyFill="1" applyBorder="1" applyAlignment="1">
      <alignment horizontal="left" indent="3"/>
    </xf>
    <xf numFmtId="165" fontId="31" fillId="10" borderId="0" xfId="10" applyNumberFormat="1" applyFont="1" applyFill="1" applyBorder="1"/>
    <xf numFmtId="168" fontId="22" fillId="10" borderId="0" xfId="10" applyNumberFormat="1" applyFont="1" applyFill="1" applyBorder="1"/>
    <xf numFmtId="168" fontId="32" fillId="10" borderId="0" xfId="10" applyNumberFormat="1" applyFont="1" applyFill="1" applyBorder="1"/>
    <xf numFmtId="173" fontId="1" fillId="9" borderId="0" xfId="2" applyNumberFormat="1" applyFont="1" applyFill="1" applyBorder="1"/>
    <xf numFmtId="171" fontId="1" fillId="9" borderId="0" xfId="0" applyNumberFormat="1" applyFont="1" applyFill="1" applyBorder="1"/>
    <xf numFmtId="168" fontId="24" fillId="9" borderId="0" xfId="2" applyNumberFormat="1" applyFont="1" applyFill="1" applyBorder="1"/>
    <xf numFmtId="168" fontId="24" fillId="9" borderId="7" xfId="2" applyNumberFormat="1" applyFont="1" applyFill="1" applyBorder="1"/>
    <xf numFmtId="168" fontId="30" fillId="9" borderId="0" xfId="0" applyNumberFormat="1" applyFont="1" applyFill="1" applyBorder="1" applyAlignment="1">
      <alignment horizontal="left" indent="1"/>
    </xf>
    <xf numFmtId="168" fontId="25" fillId="9" borderId="0" xfId="0" applyNumberFormat="1" applyFont="1" applyFill="1" applyBorder="1"/>
    <xf numFmtId="168" fontId="30" fillId="9" borderId="0" xfId="0" applyNumberFormat="1" applyFont="1" applyFill="1" applyBorder="1"/>
    <xf numFmtId="168" fontId="25" fillId="6" borderId="0" xfId="0" applyNumberFormat="1" applyFont="1" applyFill="1" applyBorder="1" applyAlignment="1">
      <alignment horizontal="right"/>
    </xf>
    <xf numFmtId="168" fontId="25" fillId="6" borderId="0" xfId="0" applyNumberFormat="1" applyFont="1" applyFill="1" applyBorder="1" applyAlignment="1">
      <alignment horizontal="center"/>
    </xf>
    <xf numFmtId="168" fontId="23" fillId="9" borderId="0" xfId="8" applyNumberFormat="1" applyFont="1" applyFill="1" applyBorder="1"/>
    <xf numFmtId="168" fontId="20" fillId="9" borderId="0" xfId="0" applyNumberFormat="1" applyFont="1" applyFill="1" applyBorder="1"/>
    <xf numFmtId="165" fontId="23" fillId="9" borderId="0" xfId="8" applyNumberFormat="1" applyFont="1" applyFill="1" applyBorder="1"/>
    <xf numFmtId="174" fontId="23" fillId="9" borderId="0" xfId="2" applyNumberFormat="1" applyFont="1" applyFill="1" applyBorder="1"/>
    <xf numFmtId="14" fontId="6" fillId="4" borderId="9" xfId="9" applyNumberFormat="1" applyFont="1" applyFill="1" applyBorder="1" applyAlignment="1">
      <alignment horizontal="center"/>
    </xf>
    <xf numFmtId="0" fontId="6" fillId="4" borderId="9" xfId="9" applyNumberFormat="1" applyFont="1" applyFill="1" applyBorder="1" applyAlignment="1">
      <alignment horizontal="center"/>
    </xf>
    <xf numFmtId="0" fontId="1" fillId="4" borderId="9" xfId="9" applyNumberFormat="1" applyFont="1" applyFill="1" applyBorder="1" applyAlignment="1">
      <alignment horizontal="center"/>
    </xf>
    <xf numFmtId="0" fontId="3" fillId="4" borderId="9" xfId="6" applyNumberFormat="1" applyFont="1" applyFill="1" applyBorder="1" applyAlignment="1">
      <alignment horizontal="left"/>
    </xf>
    <xf numFmtId="168" fontId="0" fillId="9" borderId="0" xfId="0" applyNumberFormat="1" applyFont="1" applyFill="1" applyBorder="1" applyAlignment="1">
      <alignment horizontal="left" indent="1"/>
    </xf>
    <xf numFmtId="168" fontId="5" fillId="9" borderId="0" xfId="0" applyNumberFormat="1" applyFont="1" applyFill="1" applyBorder="1" applyAlignment="1">
      <alignment horizontal="left"/>
    </xf>
    <xf numFmtId="170" fontId="0" fillId="9" borderId="0" xfId="0" applyNumberFormat="1" applyFont="1" applyFill="1" applyBorder="1" applyAlignment="1">
      <alignment horizontal="left"/>
    </xf>
    <xf numFmtId="165" fontId="20" fillId="9" borderId="0" xfId="0" applyNumberFormat="1" applyFont="1" applyFill="1" applyBorder="1" applyAlignment="1">
      <alignment horizontal="left" indent="1"/>
    </xf>
    <xf numFmtId="168" fontId="21" fillId="9" borderId="0" xfId="0" applyNumberFormat="1" applyFont="1" applyFill="1" applyBorder="1" applyAlignment="1">
      <alignment horizontal="left" indent="1"/>
    </xf>
    <xf numFmtId="168" fontId="5" fillId="9" borderId="0" xfId="0" applyNumberFormat="1" applyFont="1" applyFill="1" applyBorder="1" applyAlignment="1">
      <alignment horizontal="left" indent="1"/>
    </xf>
    <xf numFmtId="168" fontId="0" fillId="9" borderId="0" xfId="0" applyNumberFormat="1" applyFont="1" applyFill="1" applyBorder="1" applyAlignment="1">
      <alignment horizontal="left" indent="2"/>
    </xf>
    <xf numFmtId="179" fontId="5" fillId="9" borderId="0" xfId="0" applyNumberFormat="1" applyFont="1" applyFill="1" applyBorder="1" applyAlignment="1">
      <alignment horizontal="left"/>
    </xf>
    <xf numFmtId="168" fontId="25" fillId="9" borderId="0" xfId="0" applyNumberFormat="1" applyFont="1" applyFill="1" applyBorder="1" applyAlignment="1">
      <alignment horizontal="left" indent="3"/>
    </xf>
    <xf numFmtId="170" fontId="25" fillId="9" borderId="0" xfId="0" applyNumberFormat="1" applyFont="1" applyFill="1" applyBorder="1" applyAlignment="1">
      <alignment horizontal="left" indent="3"/>
    </xf>
    <xf numFmtId="168" fontId="20" fillId="9" borderId="0" xfId="0" applyNumberFormat="1" applyFont="1" applyFill="1" applyBorder="1" applyAlignment="1">
      <alignment horizontal="right"/>
    </xf>
    <xf numFmtId="168" fontId="25" fillId="9" borderId="0" xfId="0" applyNumberFormat="1" applyFont="1" applyFill="1" applyBorder="1" applyAlignment="1">
      <alignment horizontal="left" indent="1"/>
    </xf>
    <xf numFmtId="168" fontId="12" fillId="9" borderId="0" xfId="0" applyNumberFormat="1" applyFont="1" applyFill="1" applyBorder="1"/>
    <xf numFmtId="170" fontId="21" fillId="9" borderId="0" xfId="0" applyNumberFormat="1" applyFont="1" applyFill="1" applyBorder="1"/>
    <xf numFmtId="170" fontId="21" fillId="9" borderId="0" xfId="2" applyNumberFormat="1" applyFont="1" applyFill="1" applyBorder="1"/>
    <xf numFmtId="173" fontId="7" fillId="9" borderId="0" xfId="0" applyNumberFormat="1" applyFont="1" applyFill="1" applyBorder="1"/>
    <xf numFmtId="17" fontId="28" fillId="9" borderId="0" xfId="10" applyNumberFormat="1" applyFont="1" applyFill="1" applyBorder="1" applyAlignment="1">
      <alignment horizontal="center"/>
    </xf>
    <xf numFmtId="0" fontId="33" fillId="4" borderId="0" xfId="10" applyNumberFormat="1" applyFont="1" applyFill="1" applyBorder="1"/>
    <xf numFmtId="0" fontId="5" fillId="4" borderId="0" xfId="10" applyNumberFormat="1" applyFont="1" applyFill="1" applyBorder="1"/>
    <xf numFmtId="0" fontId="19" fillId="4" borderId="0" xfId="10" applyNumberFormat="1" applyFont="1" applyFill="1" applyBorder="1"/>
    <xf numFmtId="0" fontId="0" fillId="4" borderId="0" xfId="10" applyNumberFormat="1" applyFont="1" applyFill="1" applyBorder="1" applyAlignment="1">
      <alignment horizontal="left"/>
    </xf>
    <xf numFmtId="0" fontId="0" fillId="0" borderId="0" xfId="10" applyNumberFormat="1" applyFont="1" applyFill="1" applyBorder="1"/>
    <xf numFmtId="0" fontId="34" fillId="0" borderId="0" xfId="10" applyNumberFormat="1" applyFont="1" applyFill="1" applyBorder="1" applyAlignment="1">
      <alignment horizontal="left"/>
    </xf>
    <xf numFmtId="0" fontId="34" fillId="0" borderId="0" xfId="10" applyNumberFormat="1" applyFont="1" applyFill="1" applyBorder="1" applyAlignment="1">
      <alignment horizontal="center"/>
    </xf>
    <xf numFmtId="0" fontId="0" fillId="4" borderId="0" xfId="10" applyNumberFormat="1" applyFont="1" applyFill="1" applyBorder="1"/>
    <xf numFmtId="0" fontId="0" fillId="0" borderId="0" xfId="10" applyNumberFormat="1" applyFont="1" applyFill="1" applyBorder="1"/>
    <xf numFmtId="0" fontId="7" fillId="4" borderId="0" xfId="10" applyNumberFormat="1" applyFont="1" applyFill="1" applyBorder="1"/>
    <xf numFmtId="0" fontId="33" fillId="0" borderId="0" xfId="10" applyNumberFormat="1" applyFont="1" applyFill="1" applyBorder="1"/>
    <xf numFmtId="0" fontId="5" fillId="0" borderId="0" xfId="10" applyNumberFormat="1" applyFont="1" applyFill="1" applyBorder="1"/>
    <xf numFmtId="0" fontId="19" fillId="0" borderId="0" xfId="10" applyNumberFormat="1" applyFont="1" applyFill="1" applyBorder="1"/>
    <xf numFmtId="168" fontId="0" fillId="0" borderId="0" xfId="10" applyNumberFormat="1" applyFont="1" applyFill="1" applyBorder="1"/>
    <xf numFmtId="0" fontId="0" fillId="0" borderId="0" xfId="10" applyNumberFormat="1" applyFont="1" applyFill="1" applyBorder="1" applyAlignment="1">
      <alignment horizontal="left"/>
    </xf>
    <xf numFmtId="0" fontId="7" fillId="0" borderId="0" xfId="10" applyNumberFormat="1" applyFont="1" applyFill="1" applyBorder="1"/>
    <xf numFmtId="0" fontId="35" fillId="9" borderId="0" xfId="10" applyNumberFormat="1" applyFont="1" applyFill="1" applyBorder="1"/>
    <xf numFmtId="185" fontId="2" fillId="5" borderId="0" xfId="9" applyNumberFormat="1" applyFont="1" applyFill="1" applyBorder="1" applyAlignment="1">
      <alignment horizontal="right"/>
    </xf>
    <xf numFmtId="186" fontId="19" fillId="9" borderId="0" xfId="1" applyNumberFormat="1" applyFont="1" applyFill="1" applyBorder="1" applyAlignment="1">
      <alignment horizontal="left" indent="1"/>
    </xf>
    <xf numFmtId="186" fontId="19" fillId="6" borderId="0" xfId="1" applyNumberFormat="1" applyFont="1" applyFill="1" applyBorder="1"/>
    <xf numFmtId="186" fontId="19" fillId="9" borderId="0" xfId="1" applyNumberFormat="1" applyFont="1" applyFill="1" applyBorder="1"/>
    <xf numFmtId="186" fontId="25" fillId="6" borderId="0" xfId="1" applyNumberFormat="1" applyFont="1" applyFill="1" applyBorder="1"/>
    <xf numFmtId="17" fontId="1" fillId="9" borderId="0" xfId="0" applyNumberFormat="1" applyFont="1" applyFill="1" applyBorder="1" applyAlignment="1">
      <alignment horizontal="center"/>
    </xf>
    <xf numFmtId="0" fontId="21" fillId="3" borderId="0" xfId="10" applyNumberFormat="1" applyFont="1" applyFill="1" applyBorder="1"/>
    <xf numFmtId="0" fontId="25" fillId="3" borderId="0" xfId="10" applyNumberFormat="1" applyFont="1" applyFill="1" applyBorder="1"/>
    <xf numFmtId="165" fontId="20" fillId="3" borderId="0" xfId="10" applyNumberFormat="1" applyFont="1" applyFill="1" applyBorder="1"/>
    <xf numFmtId="165" fontId="21" fillId="3" borderId="0" xfId="10" applyNumberFormat="1" applyFont="1" applyFill="1" applyBorder="1" applyAlignment="1">
      <alignment horizontal="center"/>
    </xf>
    <xf numFmtId="168" fontId="21" fillId="3" borderId="0" xfId="10" applyNumberFormat="1" applyFont="1" applyFill="1" applyBorder="1" applyAlignment="1">
      <alignment horizontal="center"/>
    </xf>
    <xf numFmtId="14" fontId="20" fillId="3" borderId="0" xfId="10" applyNumberFormat="1" applyFont="1" applyFill="1" applyBorder="1" applyAlignment="1">
      <alignment horizontal="left"/>
    </xf>
    <xf numFmtId="0" fontId="37" fillId="3" borderId="0" xfId="6" applyNumberFormat="1" applyFont="1" applyFill="1" applyBorder="1"/>
    <xf numFmtId="168" fontId="20" fillId="3" borderId="0" xfId="10" applyNumberFormat="1" applyFont="1" applyFill="1" applyBorder="1"/>
    <xf numFmtId="170" fontId="20" fillId="3" borderId="0" xfId="10" applyNumberFormat="1" applyFont="1" applyFill="1" applyBorder="1"/>
    <xf numFmtId="170" fontId="21" fillId="3" borderId="0" xfId="10" applyNumberFormat="1" applyFont="1" applyFill="1" applyBorder="1" applyAlignment="1">
      <alignment horizontal="center"/>
    </xf>
    <xf numFmtId="168" fontId="20" fillId="9" borderId="0" xfId="10" applyNumberFormat="1" applyFont="1" applyFill="1" applyBorder="1"/>
    <xf numFmtId="0" fontId="21" fillId="9" borderId="0" xfId="10" applyNumberFormat="1" applyFont="1" applyFill="1" applyBorder="1"/>
    <xf numFmtId="0" fontId="25" fillId="9" borderId="0" xfId="10" applyNumberFormat="1" applyFont="1" applyFill="1" applyBorder="1"/>
    <xf numFmtId="165" fontId="21" fillId="9" borderId="0" xfId="10" applyNumberFormat="1" applyFont="1" applyFill="1" applyBorder="1" applyAlignment="1">
      <alignment horizontal="center"/>
    </xf>
    <xf numFmtId="14" fontId="20" fillId="9" borderId="0" xfId="10" applyNumberFormat="1" applyFont="1" applyFill="1" applyBorder="1" applyAlignment="1">
      <alignment horizontal="left"/>
    </xf>
    <xf numFmtId="0" fontId="37" fillId="9" borderId="0" xfId="6" applyNumberFormat="1" applyFont="1" applyFill="1" applyBorder="1"/>
    <xf numFmtId="172" fontId="0" fillId="9" borderId="0" xfId="0" applyNumberFormat="1" applyFont="1" applyFill="1" applyBorder="1"/>
    <xf numFmtId="165" fontId="23" fillId="9" borderId="11" xfId="8" applyNumberFormat="1" applyFont="1" applyFill="1" applyBorder="1"/>
    <xf numFmtId="165" fontId="20" fillId="9" borderId="12" xfId="0" applyNumberFormat="1" applyFont="1" applyFill="1" applyBorder="1"/>
    <xf numFmtId="165" fontId="20" fillId="9" borderId="13" xfId="0" applyNumberFormat="1" applyFont="1" applyFill="1" applyBorder="1"/>
    <xf numFmtId="165" fontId="23" fillId="9" borderId="14" xfId="8" applyNumberFormat="1" applyFont="1" applyFill="1" applyBorder="1" applyAlignment="1">
      <alignment horizontal="left" indent="1"/>
    </xf>
    <xf numFmtId="165" fontId="23" fillId="9" borderId="15" xfId="8" applyNumberFormat="1" applyFont="1" applyFill="1" applyBorder="1" applyAlignment="1">
      <alignment horizontal="left" indent="1"/>
    </xf>
    <xf numFmtId="169" fontId="38" fillId="9" borderId="0" xfId="6" applyNumberFormat="1" applyFont="1" applyFill="1" applyBorder="1" applyAlignment="1">
      <alignment horizontal="left"/>
    </xf>
    <xf numFmtId="0" fontId="20" fillId="9" borderId="0" xfId="10" applyNumberFormat="1" applyFont="1" applyFill="1" applyBorder="1" applyAlignment="1">
      <alignment horizontal="left"/>
    </xf>
    <xf numFmtId="0" fontId="20" fillId="9" borderId="0" xfId="10" applyNumberFormat="1" applyFont="1" applyFill="1" applyBorder="1"/>
    <xf numFmtId="0" fontId="20" fillId="9" borderId="0" xfId="10" applyNumberFormat="1" applyFont="1" applyFill="1" applyBorder="1" applyAlignment="1">
      <alignment horizontal="center"/>
    </xf>
    <xf numFmtId="0" fontId="22" fillId="10" borderId="0" xfId="10" applyNumberFormat="1" applyFont="1" applyFill="1" applyBorder="1" applyAlignment="1">
      <alignment horizontal="left"/>
    </xf>
    <xf numFmtId="0" fontId="22" fillId="10" borderId="0" xfId="10" applyNumberFormat="1" applyFont="1" applyFill="1" applyBorder="1" applyAlignment="1">
      <alignment horizontal="centerContinuous"/>
    </xf>
    <xf numFmtId="0" fontId="22" fillId="10" borderId="0" xfId="10" applyNumberFormat="1" applyFont="1" applyFill="1" applyBorder="1" applyAlignment="1">
      <alignment horizontal="center"/>
    </xf>
    <xf numFmtId="168" fontId="22" fillId="10" borderId="0" xfId="10" applyNumberFormat="1" applyFont="1" applyFill="1" applyBorder="1" applyAlignment="1">
      <alignment horizontal="center"/>
    </xf>
    <xf numFmtId="0" fontId="22" fillId="9" borderId="0" xfId="10" applyNumberFormat="1" applyFont="1" applyFill="1" applyBorder="1" applyAlignment="1">
      <alignment horizontal="left"/>
    </xf>
    <xf numFmtId="0" fontId="22" fillId="9" borderId="0" xfId="10" applyNumberFormat="1" applyFont="1" applyFill="1" applyBorder="1" applyAlignment="1">
      <alignment horizontal="center"/>
    </xf>
    <xf numFmtId="165" fontId="24" fillId="9" borderId="0" xfId="10" applyNumberFormat="1" applyFont="1" applyFill="1" applyBorder="1" applyAlignment="1">
      <alignment horizontal="left"/>
    </xf>
    <xf numFmtId="165" fontId="28" fillId="9" borderId="0" xfId="10" applyNumberFormat="1" applyFont="1" applyFill="1" applyBorder="1" applyAlignment="1">
      <alignment horizontal="center"/>
    </xf>
    <xf numFmtId="165" fontId="21" fillId="9" borderId="0" xfId="10" applyNumberFormat="1" applyFont="1" applyFill="1" applyBorder="1" applyAlignment="1">
      <alignment horizontal="left"/>
    </xf>
    <xf numFmtId="165" fontId="20" fillId="9" borderId="0" xfId="10" applyNumberFormat="1" applyFont="1" applyFill="1" applyBorder="1" applyAlignment="1">
      <alignment horizontal="left" indent="1"/>
    </xf>
    <xf numFmtId="165" fontId="20" fillId="9" borderId="0" xfId="10" applyNumberFormat="1" applyFont="1" applyFill="1" applyBorder="1" applyAlignment="1">
      <alignment horizontal="left" indent="3"/>
    </xf>
    <xf numFmtId="165" fontId="21" fillId="9" borderId="7" xfId="10" applyNumberFormat="1" applyFont="1" applyFill="1" applyBorder="1" applyAlignment="1">
      <alignment horizontal="left"/>
    </xf>
    <xf numFmtId="165" fontId="21" fillId="9" borderId="7" xfId="10" applyNumberFormat="1" applyFont="1" applyFill="1" applyBorder="1" applyAlignment="1">
      <alignment horizontal="left" indent="3"/>
    </xf>
    <xf numFmtId="165" fontId="21" fillId="9" borderId="0" xfId="10" applyNumberFormat="1" applyFont="1" applyFill="1" applyBorder="1" applyAlignment="1">
      <alignment horizontal="left" indent="3"/>
    </xf>
    <xf numFmtId="165" fontId="24" fillId="9" borderId="0" xfId="2" applyNumberFormat="1" applyFont="1" applyFill="1" applyBorder="1"/>
    <xf numFmtId="170" fontId="24" fillId="9" borderId="0" xfId="2" applyNumberFormat="1" applyFont="1" applyFill="1" applyBorder="1"/>
    <xf numFmtId="170" fontId="21" fillId="9" borderId="0" xfId="10" applyNumberFormat="1" applyFont="1" applyFill="1" applyBorder="1" applyAlignment="1">
      <alignment horizontal="left" indent="3"/>
    </xf>
    <xf numFmtId="168" fontId="23" fillId="9" borderId="0" xfId="2" applyNumberFormat="1" applyFont="1" applyFill="1" applyBorder="1"/>
    <xf numFmtId="168" fontId="20" fillId="9" borderId="0" xfId="10" applyNumberFormat="1" applyFont="1" applyFill="1" applyBorder="1" applyAlignment="1">
      <alignment horizontal="left" indent="1"/>
    </xf>
    <xf numFmtId="168" fontId="21" fillId="9" borderId="0" xfId="10" applyNumberFormat="1" applyFont="1" applyFill="1" applyBorder="1" applyAlignment="1">
      <alignment horizontal="left"/>
    </xf>
    <xf numFmtId="181" fontId="21" fillId="9" borderId="0" xfId="10" applyNumberFormat="1" applyFont="1" applyFill="1" applyBorder="1" applyAlignment="1">
      <alignment horizontal="left"/>
    </xf>
    <xf numFmtId="181" fontId="24" fillId="9" borderId="0" xfId="2" applyNumberFormat="1" applyFont="1" applyFill="1" applyBorder="1"/>
    <xf numFmtId="171" fontId="24" fillId="9" borderId="0" xfId="10" applyNumberFormat="1" applyFont="1" applyFill="1" applyBorder="1"/>
    <xf numFmtId="171" fontId="21" fillId="9" borderId="0" xfId="10" applyNumberFormat="1" applyFont="1" applyFill="1" applyBorder="1" applyAlignment="1">
      <alignment horizontal="left" indent="3"/>
    </xf>
    <xf numFmtId="182" fontId="21" fillId="9" borderId="0" xfId="10" applyNumberFormat="1" applyFont="1" applyFill="1" applyBorder="1" applyAlignment="1">
      <alignment horizontal="left"/>
    </xf>
    <xf numFmtId="182" fontId="24" fillId="9" borderId="0" xfId="2" applyNumberFormat="1" applyFont="1" applyFill="1" applyBorder="1"/>
    <xf numFmtId="168" fontId="20" fillId="9" borderId="0" xfId="10" applyNumberFormat="1" applyFont="1" applyFill="1" applyBorder="1" applyAlignment="1">
      <alignment horizontal="left"/>
    </xf>
    <xf numFmtId="171" fontId="23" fillId="9" borderId="0" xfId="10" applyNumberFormat="1" applyFont="1" applyFill="1" applyBorder="1"/>
    <xf numFmtId="171" fontId="20" fillId="9" borderId="0" xfId="10" applyNumberFormat="1" applyFont="1" applyFill="1" applyBorder="1" applyAlignment="1">
      <alignment horizontal="left" indent="3"/>
    </xf>
    <xf numFmtId="14" fontId="6" fillId="4" borderId="16" xfId="9" applyNumberFormat="1" applyFont="1" applyFill="1" applyBorder="1" applyAlignment="1">
      <alignment horizontal="center"/>
    </xf>
    <xf numFmtId="0" fontId="6" fillId="4" borderId="16" xfId="9" applyNumberFormat="1" applyFont="1" applyFill="1" applyBorder="1" applyAlignment="1">
      <alignment horizontal="center"/>
    </xf>
    <xf numFmtId="0" fontId="1" fillId="4" borderId="16" xfId="9" applyNumberFormat="1" applyFont="1" applyFill="1" applyBorder="1" applyAlignment="1">
      <alignment horizontal="center"/>
    </xf>
    <xf numFmtId="0" fontId="3" fillId="4" borderId="16" xfId="6" applyNumberFormat="1" applyFont="1" applyFill="1" applyBorder="1" applyAlignment="1">
      <alignment horizontal="left"/>
    </xf>
    <xf numFmtId="0" fontId="6" fillId="4" borderId="17" xfId="9" applyNumberFormat="1" applyFont="1" applyFill="1" applyBorder="1" applyAlignment="1">
      <alignment horizontal="center"/>
    </xf>
    <xf numFmtId="14" fontId="6" fillId="4" borderId="18" xfId="9" applyNumberFormat="1" applyFont="1" applyFill="1" applyBorder="1" applyAlignment="1">
      <alignment horizontal="center"/>
    </xf>
    <xf numFmtId="165" fontId="5" fillId="9" borderId="19" xfId="0" applyNumberFormat="1" applyFont="1" applyFill="1" applyBorder="1"/>
    <xf numFmtId="189" fontId="0" fillId="9" borderId="0" xfId="0" applyNumberFormat="1" applyFont="1" applyFill="1" applyBorder="1"/>
    <xf numFmtId="0" fontId="0" fillId="9" borderId="0" xfId="0" applyNumberFormat="1" applyFont="1" applyFill="1" applyBorder="1"/>
    <xf numFmtId="167" fontId="0" fillId="9" borderId="0" xfId="0" applyNumberFormat="1" applyFont="1" applyFill="1" applyBorder="1" applyAlignment="1">
      <alignment horizontal="left" indent="1"/>
    </xf>
    <xf numFmtId="167" fontId="0" fillId="9" borderId="0" xfId="0" applyNumberFormat="1" applyFont="1" applyFill="1" applyBorder="1"/>
    <xf numFmtId="167" fontId="0" fillId="9" borderId="11" xfId="0" applyNumberFormat="1" applyFont="1" applyFill="1" applyBorder="1" applyAlignment="1">
      <alignment horizontal="left" indent="1"/>
    </xf>
    <xf numFmtId="167" fontId="0" fillId="9" borderId="11" xfId="0" applyNumberFormat="1" applyFont="1" applyFill="1" applyBorder="1"/>
    <xf numFmtId="0" fontId="32" fillId="10" borderId="0" xfId="0" applyNumberFormat="1" applyFont="1" applyFill="1" applyBorder="1"/>
    <xf numFmtId="0" fontId="5" fillId="9" borderId="0" xfId="0" applyNumberFormat="1" applyFont="1" applyFill="1" applyBorder="1"/>
    <xf numFmtId="14" fontId="6" fillId="4" borderId="20" xfId="9" applyNumberFormat="1" applyFont="1" applyFill="1" applyBorder="1" applyAlignment="1">
      <alignment horizontal="center"/>
    </xf>
    <xf numFmtId="0" fontId="6" fillId="4" borderId="21" xfId="9" applyNumberFormat="1" applyFont="1" applyFill="1" applyBorder="1" applyAlignment="1">
      <alignment horizontal="center"/>
    </xf>
    <xf numFmtId="0" fontId="1" fillId="4" borderId="21" xfId="9" applyNumberFormat="1" applyFont="1" applyFill="1" applyBorder="1" applyAlignment="1">
      <alignment horizontal="center"/>
    </xf>
    <xf numFmtId="0" fontId="3" fillId="4" borderId="22" xfId="6" applyNumberFormat="1" applyFont="1" applyFill="1" applyBorder="1" applyAlignment="1">
      <alignment horizontal="left"/>
    </xf>
    <xf numFmtId="165" fontId="20" fillId="9" borderId="0" xfId="0" applyNumberFormat="1" applyFont="1" applyFill="1" applyBorder="1" applyAlignment="1">
      <alignment horizontal="left" indent="3"/>
    </xf>
    <xf numFmtId="165" fontId="22" fillId="10" borderId="0" xfId="0" applyNumberFormat="1" applyFont="1" applyFill="1" applyBorder="1" applyAlignment="1">
      <alignment horizontal="left"/>
    </xf>
    <xf numFmtId="165" fontId="22" fillId="10" borderId="0" xfId="0" applyNumberFormat="1" applyFont="1" applyFill="1" applyBorder="1" applyAlignment="1">
      <alignment horizontal="left" indent="3"/>
    </xf>
    <xf numFmtId="0" fontId="20" fillId="3" borderId="0" xfId="10" applyNumberFormat="1" applyFont="1" applyFill="1" applyBorder="1"/>
    <xf numFmtId="190" fontId="7" fillId="9" borderId="0" xfId="0" applyNumberFormat="1" applyFont="1" applyFill="1" applyBorder="1"/>
    <xf numFmtId="165" fontId="20" fillId="9" borderId="19" xfId="0" applyNumberFormat="1" applyFont="1" applyFill="1" applyBorder="1"/>
    <xf numFmtId="165" fontId="23" fillId="9" borderId="19" xfId="8" applyNumberFormat="1" applyFont="1" applyFill="1" applyBorder="1"/>
    <xf numFmtId="165" fontId="20" fillId="9" borderId="23" xfId="0" applyNumberFormat="1" applyFont="1" applyFill="1" applyBorder="1"/>
    <xf numFmtId="166" fontId="24" fillId="9" borderId="24" xfId="8" applyNumberFormat="1" applyFont="1" applyFill="1" applyBorder="1" applyAlignment="1">
      <alignment horizontal="left"/>
    </xf>
    <xf numFmtId="166" fontId="23" fillId="9" borderId="14" xfId="8" applyNumberFormat="1" applyFont="1" applyFill="1" applyBorder="1" applyAlignment="1">
      <alignment horizontal="left"/>
    </xf>
    <xf numFmtId="17" fontId="23" fillId="9" borderId="0" xfId="8" applyNumberFormat="1" applyFont="1" applyFill="1" applyBorder="1"/>
    <xf numFmtId="17" fontId="20" fillId="9" borderId="0" xfId="0" applyNumberFormat="1" applyFont="1" applyFill="1" applyBorder="1"/>
    <xf numFmtId="17" fontId="20" fillId="9" borderId="12" xfId="0" applyNumberFormat="1" applyFont="1" applyFill="1" applyBorder="1"/>
    <xf numFmtId="189" fontId="23" fillId="9" borderId="14" xfId="8" applyNumberFormat="1" applyFont="1" applyFill="1" applyBorder="1" applyAlignment="1">
      <alignment horizontal="left" indent="1"/>
    </xf>
    <xf numFmtId="189" fontId="20" fillId="9" borderId="0" xfId="0" applyNumberFormat="1" applyFont="1" applyFill="1" applyBorder="1"/>
    <xf numFmtId="189" fontId="23" fillId="9" borderId="0" xfId="8" applyNumberFormat="1" applyFont="1" applyFill="1" applyBorder="1"/>
    <xf numFmtId="189" fontId="20" fillId="9" borderId="12" xfId="0" applyNumberFormat="1" applyFont="1" applyFill="1" applyBorder="1"/>
    <xf numFmtId="189" fontId="23" fillId="9" borderId="14" xfId="8" applyNumberFormat="1" applyFont="1" applyFill="1" applyBorder="1" applyAlignment="1">
      <alignment horizontal="left" indent="2"/>
    </xf>
    <xf numFmtId="190" fontId="23" fillId="9" borderId="14" xfId="8" applyNumberFormat="1" applyFont="1" applyFill="1" applyBorder="1" applyAlignment="1">
      <alignment horizontal="left" indent="1"/>
    </xf>
    <xf numFmtId="190" fontId="0" fillId="9" borderId="0" xfId="0" applyNumberFormat="1" applyFont="1" applyFill="1" applyBorder="1"/>
    <xf numFmtId="190" fontId="23" fillId="9" borderId="14" xfId="8" applyNumberFormat="1" applyFont="1" applyFill="1" applyBorder="1" applyAlignment="1">
      <alignment horizontal="left" indent="2"/>
    </xf>
    <xf numFmtId="189" fontId="0" fillId="9" borderId="0" xfId="0" applyNumberFormat="1" applyFont="1" applyFill="1" applyBorder="1" applyAlignment="1">
      <alignment horizontal="left" indent="1"/>
    </xf>
    <xf numFmtId="189" fontId="0" fillId="6" borderId="0" xfId="0" applyNumberFormat="1" applyFont="1" applyFill="1" applyBorder="1" applyAlignment="1">
      <alignment horizontal="right"/>
    </xf>
    <xf numFmtId="189" fontId="0" fillId="9" borderId="0" xfId="0" applyNumberFormat="1" applyFont="1" applyFill="1" applyBorder="1" applyAlignment="1">
      <alignment horizontal="right"/>
    </xf>
    <xf numFmtId="189" fontId="20" fillId="6" borderId="0" xfId="0" applyNumberFormat="1" applyFont="1" applyFill="1" applyBorder="1"/>
    <xf numFmtId="190" fontId="0" fillId="9" borderId="0" xfId="0" applyNumberFormat="1" applyFont="1" applyFill="1" applyBorder="1" applyAlignment="1">
      <alignment horizontal="left" indent="1"/>
    </xf>
    <xf numFmtId="190" fontId="0" fillId="6" borderId="0" xfId="0" applyNumberFormat="1" applyFont="1" applyFill="1" applyBorder="1" applyAlignment="1">
      <alignment horizontal="right"/>
    </xf>
    <xf numFmtId="190" fontId="0" fillId="9" borderId="0" xfId="0" applyNumberFormat="1" applyFont="1" applyFill="1" applyBorder="1" applyAlignment="1">
      <alignment horizontal="right"/>
    </xf>
    <xf numFmtId="190" fontId="20" fillId="6" borderId="0" xfId="0" applyNumberFormat="1" applyFont="1" applyFill="1" applyBorder="1"/>
    <xf numFmtId="189" fontId="12" fillId="9" borderId="0" xfId="0" applyNumberFormat="1" applyFont="1" applyFill="1" applyBorder="1" applyAlignment="1">
      <alignment horizontal="left"/>
    </xf>
    <xf numFmtId="189" fontId="5" fillId="6" borderId="0" xfId="0" applyNumberFormat="1" applyFont="1" applyFill="1" applyBorder="1" applyAlignment="1">
      <alignment horizontal="right"/>
    </xf>
    <xf numFmtId="189" fontId="5" fillId="9" borderId="0" xfId="0" applyNumberFormat="1" applyFont="1" applyFill="1" applyBorder="1" applyAlignment="1">
      <alignment horizontal="right"/>
    </xf>
    <xf numFmtId="189" fontId="21" fillId="6" borderId="0" xfId="0" applyNumberFormat="1" applyFont="1" applyFill="1" applyBorder="1"/>
    <xf numFmtId="0" fontId="1" fillId="4" borderId="17" xfId="9" applyNumberFormat="1" applyFont="1" applyFill="1" applyBorder="1" applyAlignment="1">
      <alignment horizontal="center"/>
    </xf>
    <xf numFmtId="191" fontId="17" fillId="5" borderId="0" xfId="9" applyNumberFormat="1" applyFont="1" applyFill="1" applyBorder="1" applyAlignment="1">
      <alignment horizontal="center" vertical="center"/>
    </xf>
    <xf numFmtId="0" fontId="37" fillId="3" borderId="0" xfId="6" applyFont="1" applyFill="1"/>
    <xf numFmtId="168" fontId="20" fillId="6" borderId="0" xfId="0" applyNumberFormat="1" applyFont="1" applyFill="1" applyBorder="1"/>
    <xf numFmtId="168" fontId="5" fillId="6" borderId="7" xfId="0" applyNumberFormat="1" applyFont="1" applyFill="1" applyBorder="1"/>
    <xf numFmtId="168" fontId="5" fillId="9" borderId="7" xfId="0" applyNumberFormat="1" applyFont="1" applyFill="1" applyBorder="1"/>
    <xf numFmtId="168" fontId="21" fillId="9" borderId="7" xfId="0" applyNumberFormat="1" applyFont="1" applyFill="1" applyBorder="1"/>
    <xf numFmtId="168" fontId="21" fillId="6" borderId="7" xfId="0" applyNumberFormat="1" applyFont="1" applyFill="1" applyBorder="1"/>
    <xf numFmtId="168" fontId="0" fillId="9" borderId="2" xfId="0" applyNumberFormat="1" applyFont="1" applyFill="1" applyBorder="1" applyAlignment="1">
      <alignment horizontal="left" indent="1"/>
    </xf>
    <xf numFmtId="168" fontId="20" fillId="9" borderId="2" xfId="0" applyNumberFormat="1" applyFont="1" applyFill="1" applyBorder="1" applyAlignment="1">
      <alignment horizontal="right"/>
    </xf>
    <xf numFmtId="168" fontId="0" fillId="9" borderId="2" xfId="0" applyNumberFormat="1" applyFont="1" applyFill="1" applyBorder="1"/>
    <xf numFmtId="168" fontId="20" fillId="9" borderId="2" xfId="0" applyNumberFormat="1" applyFont="1" applyFill="1" applyBorder="1"/>
    <xf numFmtId="165" fontId="20" fillId="9" borderId="2" xfId="0" applyNumberFormat="1" applyFont="1" applyFill="1" applyBorder="1" applyAlignment="1">
      <alignment horizontal="left" indent="1"/>
    </xf>
    <xf numFmtId="165" fontId="20" fillId="9" borderId="2" xfId="0" applyNumberFormat="1" applyFont="1" applyFill="1" applyBorder="1" applyAlignment="1">
      <alignment horizontal="left" indent="4"/>
    </xf>
    <xf numFmtId="165" fontId="0" fillId="9" borderId="7" xfId="0" applyNumberFormat="1" applyFont="1" applyFill="1" applyBorder="1" applyAlignment="1">
      <alignment horizontal="left" indent="1"/>
    </xf>
    <xf numFmtId="165" fontId="0" fillId="9" borderId="10" xfId="0" applyNumberFormat="1" applyFont="1" applyFill="1" applyBorder="1" applyAlignment="1">
      <alignment horizontal="left" indent="1"/>
    </xf>
    <xf numFmtId="165" fontId="23" fillId="9" borderId="25" xfId="8" applyNumberFormat="1" applyFont="1" applyFill="1" applyBorder="1" applyAlignment="1">
      <alignment horizontal="left" indent="1"/>
    </xf>
    <xf numFmtId="165" fontId="20" fillId="9" borderId="25" xfId="0" applyNumberFormat="1" applyFont="1" applyFill="1" applyBorder="1"/>
    <xf numFmtId="165" fontId="23" fillId="9" borderId="25" xfId="8" applyNumberFormat="1" applyFont="1" applyFill="1" applyBorder="1"/>
    <xf numFmtId="168" fontId="0" fillId="6" borderId="2" xfId="0" applyNumberFormat="1" applyFont="1" applyFill="1" applyBorder="1"/>
    <xf numFmtId="168" fontId="20" fillId="6" borderId="2" xfId="0" applyNumberFormat="1" applyFont="1" applyFill="1" applyBorder="1"/>
    <xf numFmtId="0" fontId="5" fillId="9" borderId="0" xfId="0" applyNumberFormat="1" applyFont="1" applyFill="1" applyBorder="1" applyAlignment="1">
      <alignment horizontal="center"/>
    </xf>
    <xf numFmtId="165" fontId="23" fillId="9" borderId="2" xfId="8" applyNumberFormat="1" applyFont="1" applyFill="1" applyBorder="1"/>
    <xf numFmtId="168" fontId="20" fillId="9" borderId="4" xfId="0" applyNumberFormat="1" applyFont="1" applyFill="1" applyBorder="1"/>
    <xf numFmtId="165" fontId="20" fillId="9" borderId="4" xfId="0" applyNumberFormat="1" applyFont="1" applyFill="1" applyBorder="1"/>
    <xf numFmtId="165" fontId="20" fillId="9" borderId="1" xfId="0" applyNumberFormat="1" applyFont="1" applyFill="1" applyBorder="1"/>
    <xf numFmtId="165" fontId="23" fillId="9" borderId="5" xfId="8" applyNumberFormat="1" applyFont="1" applyFill="1" applyBorder="1" applyAlignment="1">
      <alignment horizontal="left" indent="1"/>
    </xf>
    <xf numFmtId="165" fontId="23" fillId="9" borderId="3" xfId="8" applyNumberFormat="1" applyFont="1" applyFill="1" applyBorder="1" applyAlignment="1">
      <alignment horizontal="left" indent="1"/>
    </xf>
    <xf numFmtId="165" fontId="24" fillId="9" borderId="26" xfId="8" applyNumberFormat="1" applyFont="1" applyFill="1" applyBorder="1"/>
    <xf numFmtId="175" fontId="23" fillId="9" borderId="27" xfId="8" applyNumberFormat="1" applyFont="1" applyFill="1" applyBorder="1" applyAlignment="1">
      <alignment horizontal="left" indent="1"/>
    </xf>
    <xf numFmtId="176" fontId="23" fillId="9" borderId="27" xfId="8" applyNumberFormat="1" applyFont="1" applyFill="1" applyBorder="1" applyAlignment="1">
      <alignment horizontal="left" indent="1"/>
    </xf>
    <xf numFmtId="177" fontId="23" fillId="9" borderId="27" xfId="8" applyNumberFormat="1" applyFont="1" applyFill="1" applyBorder="1" applyAlignment="1">
      <alignment horizontal="left" indent="1"/>
    </xf>
    <xf numFmtId="165" fontId="24" fillId="9" borderId="8" xfId="8" applyNumberFormat="1" applyFont="1" applyFill="1" applyBorder="1"/>
    <xf numFmtId="165" fontId="20" fillId="9" borderId="2" xfId="10" applyNumberFormat="1" applyFont="1" applyFill="1" applyBorder="1" applyAlignment="1">
      <alignment horizontal="left" indent="1"/>
    </xf>
    <xf numFmtId="165" fontId="20" fillId="9" borderId="2" xfId="10" applyNumberFormat="1" applyFont="1" applyFill="1" applyBorder="1" applyAlignment="1">
      <alignment horizontal="left" indent="3"/>
    </xf>
    <xf numFmtId="168" fontId="20" fillId="9" borderId="2" xfId="10" applyNumberFormat="1" applyFont="1" applyFill="1" applyBorder="1" applyAlignment="1">
      <alignment horizontal="left" indent="1"/>
    </xf>
    <xf numFmtId="168" fontId="23" fillId="9" borderId="2" xfId="2" applyNumberFormat="1" applyFont="1" applyFill="1" applyBorder="1"/>
    <xf numFmtId="168" fontId="20" fillId="6" borderId="2" xfId="10" applyNumberFormat="1" applyFont="1" applyFill="1" applyBorder="1" applyAlignment="1">
      <alignment horizontal="right"/>
    </xf>
    <xf numFmtId="168" fontId="20" fillId="9" borderId="2" xfId="10" applyNumberFormat="1" applyFont="1" applyFill="1" applyBorder="1" applyAlignment="1">
      <alignment horizontal="right"/>
    </xf>
    <xf numFmtId="168" fontId="20" fillId="6" borderId="2" xfId="10" applyNumberFormat="1" applyFont="1" applyFill="1" applyBorder="1"/>
    <xf numFmtId="0" fontId="8" fillId="11" borderId="9" xfId="9" applyNumberFormat="1" applyFont="1" applyFill="1" applyBorder="1" applyAlignment="1">
      <alignment horizontal="center"/>
    </xf>
    <xf numFmtId="0" fontId="3" fillId="0" borderId="9" xfId="6" applyBorder="1"/>
    <xf numFmtId="0" fontId="44" fillId="9" borderId="0" xfId="10" applyNumberFormat="1" applyFont="1" applyFill="1" applyBorder="1"/>
    <xf numFmtId="165" fontId="32" fillId="10" borderId="0" xfId="0" applyNumberFormat="1" applyFont="1" applyFill="1" applyBorder="1" applyAlignment="1">
      <alignment horizontal="left" indent="4"/>
    </xf>
    <xf numFmtId="165" fontId="0" fillId="9" borderId="7" xfId="0" applyNumberFormat="1" applyFont="1" applyFill="1" applyBorder="1" applyAlignment="1">
      <alignment horizontal="left" indent="2"/>
    </xf>
    <xf numFmtId="165" fontId="0" fillId="9" borderId="0" xfId="0" applyNumberFormat="1" applyFont="1" applyFill="1" applyBorder="1" applyAlignment="1">
      <alignment horizontal="left" indent="1"/>
    </xf>
    <xf numFmtId="168" fontId="22" fillId="10" borderId="0" xfId="0" applyNumberFormat="1" applyFont="1" applyFill="1"/>
    <xf numFmtId="165" fontId="5" fillId="9" borderId="0" xfId="0" applyNumberFormat="1" applyFont="1" applyFill="1"/>
    <xf numFmtId="168" fontId="21" fillId="9" borderId="0" xfId="0" applyNumberFormat="1" applyFont="1" applyFill="1" applyBorder="1"/>
    <xf numFmtId="189" fontId="5" fillId="9" borderId="0" xfId="0" applyNumberFormat="1" applyFont="1" applyFill="1" applyBorder="1"/>
    <xf numFmtId="168" fontId="21" fillId="9" borderId="0" xfId="10" applyNumberFormat="1" applyFont="1" applyFill="1" applyBorder="1"/>
    <xf numFmtId="181" fontId="21" fillId="9" borderId="0" xfId="10" applyNumberFormat="1" applyFont="1" applyFill="1" applyBorder="1"/>
    <xf numFmtId="182" fontId="21" fillId="9" borderId="0" xfId="10" applyNumberFormat="1" applyFont="1" applyFill="1" applyBorder="1"/>
    <xf numFmtId="167" fontId="0" fillId="6" borderId="0" xfId="0" applyNumberFormat="1" applyFont="1" applyFill="1" applyBorder="1"/>
    <xf numFmtId="167" fontId="0" fillId="0" borderId="0" xfId="0" applyNumberFormat="1" applyFont="1" applyFill="1" applyBorder="1"/>
    <xf numFmtId="167" fontId="5" fillId="6" borderId="0" xfId="0" applyNumberFormat="1" applyFont="1" applyFill="1" applyBorder="1"/>
    <xf numFmtId="167" fontId="5" fillId="0" borderId="0" xfId="0" applyNumberFormat="1" applyFont="1" applyFill="1" applyBorder="1"/>
    <xf numFmtId="167" fontId="5" fillId="9" borderId="0" xfId="0" applyNumberFormat="1" applyFont="1" applyFill="1" applyBorder="1" applyAlignment="1">
      <alignment horizontal="left"/>
    </xf>
    <xf numFmtId="167" fontId="5" fillId="9" borderId="7" xfId="0" applyNumberFormat="1" applyFont="1" applyFill="1" applyBorder="1" applyAlignment="1">
      <alignment horizontal="left"/>
    </xf>
    <xf numFmtId="167" fontId="5" fillId="6" borderId="7" xfId="0" applyNumberFormat="1" applyFont="1" applyFill="1" applyBorder="1"/>
    <xf numFmtId="167" fontId="5" fillId="9" borderId="7" xfId="0" applyNumberFormat="1" applyFont="1" applyFill="1" applyBorder="1"/>
    <xf numFmtId="168" fontId="40" fillId="9" borderId="0" xfId="0" applyNumberFormat="1" applyFont="1" applyFill="1" applyBorder="1"/>
    <xf numFmtId="167" fontId="0" fillId="9" borderId="0" xfId="0" applyNumberFormat="1" applyFont="1" applyFill="1" applyBorder="1" applyAlignment="1">
      <alignment horizontal="left" indent="2"/>
    </xf>
    <xf numFmtId="167" fontId="20" fillId="9" borderId="0" xfId="10" applyNumberFormat="1" applyFont="1" applyFill="1" applyBorder="1" applyAlignment="1">
      <alignment horizontal="left" indent="3"/>
    </xf>
    <xf numFmtId="167" fontId="20" fillId="6" borderId="0" xfId="10" applyNumberFormat="1" applyFont="1" applyFill="1" applyBorder="1"/>
    <xf numFmtId="167" fontId="20" fillId="9" borderId="0" xfId="10" applyNumberFormat="1" applyFont="1" applyFill="1" applyBorder="1"/>
    <xf numFmtId="167" fontId="21" fillId="9" borderId="7" xfId="10" applyNumberFormat="1" applyFont="1" applyFill="1" applyBorder="1" applyAlignment="1">
      <alignment horizontal="left" indent="3"/>
    </xf>
    <xf numFmtId="167" fontId="21" fillId="6" borderId="7" xfId="10" applyNumberFormat="1" applyFont="1" applyFill="1" applyBorder="1"/>
    <xf numFmtId="167" fontId="21" fillId="9" borderId="7" xfId="10" applyNumberFormat="1" applyFont="1" applyFill="1" applyBorder="1"/>
    <xf numFmtId="167" fontId="21" fillId="9" borderId="0" xfId="10" applyNumberFormat="1" applyFont="1" applyFill="1" applyBorder="1"/>
    <xf numFmtId="14" fontId="11" fillId="3" borderId="0" xfId="9" applyNumberFormat="1" applyFont="1" applyFill="1" applyBorder="1" applyAlignment="1">
      <alignment horizontal="center" vertical="center"/>
    </xf>
    <xf numFmtId="0" fontId="6" fillId="4" borderId="9" xfId="9" applyNumberFormat="1" applyFont="1" applyFill="1" applyBorder="1" applyAlignment="1">
      <alignment horizontal="left"/>
    </xf>
    <xf numFmtId="0" fontId="6" fillId="4" borderId="17" xfId="9" applyNumberFormat="1" applyFont="1" applyFill="1" applyBorder="1" applyAlignment="1">
      <alignment horizontal="left"/>
    </xf>
    <xf numFmtId="0" fontId="6" fillId="4" borderId="21" xfId="9" applyNumberFormat="1" applyFont="1" applyFill="1" applyBorder="1" applyAlignment="1">
      <alignment horizontal="left"/>
    </xf>
    <xf numFmtId="0" fontId="6" fillId="4" borderId="16" xfId="9" applyNumberFormat="1" applyFont="1" applyFill="1" applyBorder="1" applyAlignment="1">
      <alignment horizontal="left"/>
    </xf>
    <xf numFmtId="167" fontId="20" fillId="3" borderId="0" xfId="10" applyNumberFormat="1" applyFont="1" applyFill="1" applyBorder="1"/>
    <xf numFmtId="167" fontId="21" fillId="3" borderId="0" xfId="10" applyNumberFormat="1" applyFont="1" applyFill="1" applyBorder="1" applyAlignment="1">
      <alignment horizontal="center"/>
    </xf>
    <xf numFmtId="167" fontId="21" fillId="9" borderId="0" xfId="0" applyNumberFormat="1" applyFont="1" applyFill="1" applyBorder="1"/>
    <xf numFmtId="167" fontId="21" fillId="6" borderId="0" xfId="0" applyNumberFormat="1" applyFont="1" applyFill="1" applyBorder="1"/>
    <xf numFmtId="167" fontId="0" fillId="9" borderId="2" xfId="0" applyNumberFormat="1" applyFont="1" applyFill="1" applyBorder="1" applyAlignment="1">
      <alignment horizontal="left" indent="1"/>
    </xf>
    <xf numFmtId="167" fontId="0" fillId="6" borderId="2" xfId="0" applyNumberFormat="1" applyFont="1" applyFill="1" applyBorder="1"/>
    <xf numFmtId="167" fontId="0" fillId="9" borderId="2" xfId="0" applyNumberFormat="1" applyFont="1" applyFill="1" applyBorder="1"/>
    <xf numFmtId="167" fontId="21" fillId="9" borderId="7" xfId="0" applyNumberFormat="1" applyFont="1" applyFill="1" applyBorder="1"/>
    <xf numFmtId="167" fontId="21" fillId="6" borderId="7" xfId="0" applyNumberFormat="1" applyFont="1" applyFill="1" applyBorder="1"/>
    <xf numFmtId="167" fontId="20" fillId="9" borderId="0" xfId="0" applyNumberFormat="1" applyFont="1" applyFill="1" applyBorder="1"/>
    <xf numFmtId="167" fontId="5" fillId="9" borderId="0" xfId="0" applyNumberFormat="1" applyFont="1" applyFill="1" applyBorder="1" applyAlignment="1">
      <alignment horizontal="right"/>
    </xf>
    <xf numFmtId="167" fontId="5" fillId="6" borderId="0" xfId="0" applyNumberFormat="1" applyFont="1" applyFill="1" applyBorder="1" applyAlignment="1">
      <alignment horizontal="right"/>
    </xf>
    <xf numFmtId="167" fontId="5" fillId="9" borderId="7" xfId="0" applyNumberFormat="1" applyFont="1" applyFill="1" applyBorder="1" applyAlignment="1">
      <alignment horizontal="right"/>
    </xf>
    <xf numFmtId="165" fontId="2" fillId="9" borderId="6" xfId="8" applyNumberFormat="1" applyFont="1" applyFill="1" applyBorder="1" applyAlignment="1">
      <alignment horizontal="left"/>
    </xf>
    <xf numFmtId="165" fontId="1" fillId="9" borderId="4" xfId="8" applyNumberFormat="1" applyFont="1" applyFill="1" applyBorder="1" applyAlignment="1">
      <alignment horizontal="left" indent="1"/>
    </xf>
    <xf numFmtId="168" fontId="40" fillId="9" borderId="0" xfId="0" applyNumberFormat="1" applyFont="1" applyFill="1" applyBorder="1" applyAlignment="1">
      <alignment horizontal="left" indent="1"/>
    </xf>
    <xf numFmtId="168" fontId="40" fillId="6" borderId="0" xfId="0" applyNumberFormat="1" applyFont="1" applyFill="1" applyBorder="1"/>
    <xf numFmtId="168" fontId="41" fillId="9" borderId="0" xfId="0" applyNumberFormat="1" applyFont="1" applyFill="1" applyBorder="1"/>
    <xf numFmtId="168" fontId="41" fillId="6" borderId="0" xfId="0" applyNumberFormat="1" applyFont="1" applyFill="1" applyBorder="1"/>
    <xf numFmtId="168" fontId="0" fillId="0" borderId="0" xfId="0" applyNumberFormat="1" applyFont="1" applyFill="1" applyBorder="1"/>
    <xf numFmtId="0" fontId="8" fillId="11" borderId="26" xfId="9" applyNumberFormat="1" applyFont="1" applyFill="1" applyBorder="1" applyAlignment="1">
      <alignment horizontal="center"/>
    </xf>
    <xf numFmtId="165" fontId="20" fillId="9" borderId="0" xfId="0" applyNumberFormat="1" applyFont="1" applyFill="1" applyBorder="1" applyAlignment="1">
      <alignment horizontal="left" indent="2"/>
    </xf>
    <xf numFmtId="167" fontId="0" fillId="9" borderId="2" xfId="0" applyNumberFormat="1" applyFont="1" applyFill="1" applyBorder="1" applyAlignment="1">
      <alignment horizontal="left" indent="2"/>
    </xf>
    <xf numFmtId="165" fontId="0" fillId="0" borderId="0" xfId="0" applyNumberFormat="1" applyFont="1" applyFill="1" applyBorder="1"/>
    <xf numFmtId="165" fontId="21" fillId="9" borderId="0" xfId="0" applyNumberFormat="1" applyFont="1" applyFill="1" applyBorder="1" applyAlignment="1">
      <alignment horizontal="left" indent="1"/>
    </xf>
    <xf numFmtId="167" fontId="20" fillId="9" borderId="0" xfId="0" applyNumberFormat="1" applyFont="1" applyFill="1" applyBorder="1" applyAlignment="1">
      <alignment horizontal="left" indent="2"/>
    </xf>
    <xf numFmtId="165" fontId="21" fillId="9" borderId="0" xfId="0" applyNumberFormat="1" applyFont="1" applyFill="1" applyBorder="1" applyAlignment="1">
      <alignment horizontal="left" indent="3"/>
    </xf>
    <xf numFmtId="171" fontId="21" fillId="9" borderId="0" xfId="0" applyNumberFormat="1" applyFont="1" applyFill="1" applyBorder="1" applyAlignment="1">
      <alignment horizontal="right"/>
    </xf>
    <xf numFmtId="165" fontId="0" fillId="9" borderId="11" xfId="0" applyNumberFormat="1" applyFont="1" applyFill="1" applyBorder="1" applyAlignment="1">
      <alignment horizontal="left" indent="1"/>
    </xf>
    <xf numFmtId="173" fontId="2" fillId="9" borderId="0" xfId="2" applyNumberFormat="1" applyFont="1" applyFill="1" applyBorder="1"/>
    <xf numFmtId="189" fontId="12" fillId="9" borderId="0" xfId="0" applyNumberFormat="1" applyFont="1" applyFill="1" applyBorder="1"/>
    <xf numFmtId="189" fontId="12" fillId="6" borderId="0" xfId="0" applyNumberFormat="1" applyFont="1" applyFill="1" applyBorder="1"/>
    <xf numFmtId="171" fontId="21" fillId="6" borderId="0" xfId="10" applyNumberFormat="1" applyFont="1" applyFill="1" applyBorder="1" applyAlignment="1">
      <alignment horizontal="right"/>
    </xf>
    <xf numFmtId="182" fontId="21" fillId="6" borderId="0" xfId="10" applyNumberFormat="1" applyFont="1" applyFill="1" applyBorder="1" applyAlignment="1">
      <alignment horizontal="right"/>
    </xf>
    <xf numFmtId="0" fontId="3" fillId="9" borderId="9" xfId="6" applyFill="1" applyBorder="1"/>
    <xf numFmtId="0" fontId="3" fillId="0" borderId="9" xfId="6" applyNumberFormat="1" applyFont="1" applyFill="1" applyBorder="1"/>
    <xf numFmtId="165" fontId="5" fillId="9" borderId="19" xfId="0" applyNumberFormat="1" applyFont="1" applyFill="1" applyBorder="1" applyAlignment="1">
      <alignment horizontal="left"/>
    </xf>
    <xf numFmtId="165" fontId="19" fillId="9" borderId="0" xfId="0" applyNumberFormat="1" applyFont="1" applyFill="1" applyBorder="1" applyAlignment="1">
      <alignment horizontal="left"/>
    </xf>
    <xf numFmtId="168" fontId="19" fillId="6" borderId="0" xfId="0" applyNumberFormat="1" applyFont="1" applyFill="1" applyBorder="1" applyAlignment="1">
      <alignment horizontal="right"/>
    </xf>
    <xf numFmtId="168" fontId="19" fillId="9" borderId="0" xfId="0" applyNumberFormat="1" applyFont="1" applyFill="1" applyBorder="1" applyAlignment="1">
      <alignment horizontal="right"/>
    </xf>
    <xf numFmtId="168" fontId="36" fillId="9" borderId="0" xfId="0" applyNumberFormat="1" applyFont="1" applyFill="1" applyBorder="1" applyAlignment="1">
      <alignment horizontal="right"/>
    </xf>
    <xf numFmtId="168" fontId="36" fillId="6" borderId="0" xfId="0" applyNumberFormat="1" applyFont="1" applyFill="1" applyBorder="1" applyAlignment="1">
      <alignment horizontal="right"/>
    </xf>
    <xf numFmtId="167" fontId="21" fillId="9" borderId="0" xfId="0" applyNumberFormat="1" applyFont="1" applyFill="1" applyBorder="1" applyAlignment="1">
      <alignment horizontal="right"/>
    </xf>
    <xf numFmtId="167" fontId="21" fillId="6" borderId="0" xfId="0" applyNumberFormat="1" applyFont="1" applyFill="1" applyBorder="1" applyAlignment="1">
      <alignment horizontal="right"/>
    </xf>
    <xf numFmtId="165" fontId="20" fillId="9" borderId="2" xfId="0" applyNumberFormat="1" applyFont="1" applyFill="1" applyBorder="1" applyAlignment="1">
      <alignment horizontal="left" indent="3"/>
    </xf>
    <xf numFmtId="165" fontId="20" fillId="9" borderId="0" xfId="0" applyNumberFormat="1" applyFont="1" applyFill="1" applyBorder="1" applyAlignment="1">
      <alignment horizontal="left" indent="4"/>
    </xf>
    <xf numFmtId="179" fontId="21" fillId="9" borderId="0" xfId="10" applyNumberFormat="1" applyFont="1" applyFill="1" applyBorder="1" applyAlignment="1">
      <alignment horizontal="left" indent="1"/>
    </xf>
    <xf numFmtId="189" fontId="12" fillId="9" borderId="0" xfId="10" applyNumberFormat="1" applyFont="1" applyFill="1" applyBorder="1" applyAlignment="1">
      <alignment horizontal="left"/>
    </xf>
    <xf numFmtId="189" fontId="21" fillId="6" borderId="0" xfId="10" applyNumberFormat="1" applyFont="1" applyFill="1" applyBorder="1" applyAlignment="1">
      <alignment horizontal="right"/>
    </xf>
    <xf numFmtId="189" fontId="21" fillId="9" borderId="0" xfId="10" applyNumberFormat="1" applyFont="1" applyFill="1" applyBorder="1" applyAlignment="1">
      <alignment horizontal="right"/>
    </xf>
    <xf numFmtId="189" fontId="21" fillId="6" borderId="0" xfId="10" applyNumberFormat="1" applyFont="1" applyFill="1" applyBorder="1"/>
    <xf numFmtId="170" fontId="16" fillId="12" borderId="0" xfId="2" applyNumberFormat="1" applyFont="1" applyFill="1" applyBorder="1" applyAlignment="1">
      <alignment horizontal="center" vertical="center"/>
    </xf>
    <xf numFmtId="167" fontId="22" fillId="10" borderId="0" xfId="10" applyNumberFormat="1" applyFont="1" applyFill="1" applyBorder="1"/>
    <xf numFmtId="0" fontId="32" fillId="10" borderId="0" xfId="10" applyNumberFormat="1" applyFont="1" applyFill="1" applyBorder="1"/>
    <xf numFmtId="167" fontId="22" fillId="10" borderId="0" xfId="0" applyNumberFormat="1" applyFont="1" applyFill="1" applyBorder="1"/>
    <xf numFmtId="190" fontId="23" fillId="9" borderId="0" xfId="8" applyNumberFormat="1" applyFont="1" applyFill="1" applyBorder="1"/>
    <xf numFmtId="190" fontId="20" fillId="9" borderId="0" xfId="0" applyNumberFormat="1" applyFont="1" applyFill="1" applyBorder="1"/>
    <xf numFmtId="190" fontId="20" fillId="9" borderId="12" xfId="0" applyNumberFormat="1" applyFont="1" applyFill="1" applyBorder="1"/>
    <xf numFmtId="0" fontId="20" fillId="6" borderId="0" xfId="10" applyNumberFormat="1" applyFont="1" applyFill="1" applyBorder="1"/>
    <xf numFmtId="0" fontId="3" fillId="9" borderId="16" xfId="6" applyFill="1" applyBorder="1"/>
    <xf numFmtId="0" fontId="3" fillId="9" borderId="28" xfId="6" applyFill="1" applyBorder="1"/>
    <xf numFmtId="193" fontId="23" fillId="9" borderId="16" xfId="8" applyNumberFormat="1" applyFont="1" applyFill="1" applyBorder="1" applyAlignment="1">
      <alignment horizontal="left" indent="1"/>
    </xf>
    <xf numFmtId="165" fontId="19" fillId="9" borderId="0" xfId="0" applyNumberFormat="1" applyFont="1" applyFill="1" applyBorder="1"/>
    <xf numFmtId="167" fontId="23" fillId="9" borderId="0" xfId="8" applyNumberFormat="1" applyFont="1" applyFill="1" applyBorder="1"/>
    <xf numFmtId="167" fontId="21" fillId="9" borderId="7" xfId="10" applyNumberFormat="1" applyFont="1" applyFill="1" applyBorder="1" applyAlignment="1">
      <alignment horizontal="left"/>
    </xf>
    <xf numFmtId="167" fontId="20" fillId="9" borderId="0" xfId="10" applyNumberFormat="1" applyFont="1" applyFill="1" applyBorder="1" applyAlignment="1">
      <alignment horizontal="left" indent="1"/>
    </xf>
    <xf numFmtId="167" fontId="20" fillId="9" borderId="2" xfId="10" applyNumberFormat="1" applyFont="1" applyFill="1" applyBorder="1" applyAlignment="1">
      <alignment horizontal="left" indent="1"/>
    </xf>
    <xf numFmtId="167" fontId="20" fillId="9" borderId="2" xfId="10" applyNumberFormat="1" applyFont="1" applyFill="1" applyBorder="1" applyAlignment="1">
      <alignment horizontal="left" indent="3"/>
    </xf>
    <xf numFmtId="167" fontId="20" fillId="6" borderId="2" xfId="10" applyNumberFormat="1" applyFont="1" applyFill="1" applyBorder="1"/>
    <xf numFmtId="167" fontId="20" fillId="9" borderId="2" xfId="10" applyNumberFormat="1" applyFont="1" applyFill="1" applyBorder="1"/>
    <xf numFmtId="178" fontId="1" fillId="9" borderId="0" xfId="0" applyNumberFormat="1" applyFont="1" applyFill="1" applyBorder="1" applyAlignment="1">
      <alignment horizontal="left"/>
    </xf>
    <xf numFmtId="187" fontId="2" fillId="9" borderId="0" xfId="0" applyNumberFormat="1" applyFont="1" applyFill="1" applyBorder="1" applyAlignment="1">
      <alignment horizontal="left"/>
    </xf>
    <xf numFmtId="170" fontId="4" fillId="9" borderId="0" xfId="2" applyNumberFormat="1" applyFont="1" applyFill="1" applyBorder="1" applyAlignment="1">
      <alignment horizontal="center"/>
    </xf>
    <xf numFmtId="165" fontId="5" fillId="9" borderId="0" xfId="0" applyNumberFormat="1" applyFont="1" applyFill="1" applyBorder="1" applyAlignment="1">
      <alignment horizontal="center"/>
    </xf>
    <xf numFmtId="188" fontId="2" fillId="9" borderId="0" xfId="0" applyNumberFormat="1" applyFont="1" applyFill="1" applyBorder="1"/>
    <xf numFmtId="186" fontId="25" fillId="9" borderId="0" xfId="1" applyNumberFormat="1" applyFont="1" applyFill="1" applyBorder="1"/>
    <xf numFmtId="170" fontId="20" fillId="9" borderId="0" xfId="0" applyNumberFormat="1" applyFont="1" applyFill="1" applyBorder="1"/>
    <xf numFmtId="168" fontId="25" fillId="9" borderId="0" xfId="0" applyNumberFormat="1" applyFont="1" applyFill="1" applyBorder="1" applyAlignment="1">
      <alignment horizontal="right"/>
    </xf>
    <xf numFmtId="173" fontId="20" fillId="9" borderId="0" xfId="0" applyNumberFormat="1" applyFont="1" applyFill="1" applyBorder="1"/>
    <xf numFmtId="189" fontId="21" fillId="9" borderId="0" xfId="0" applyNumberFormat="1" applyFont="1" applyFill="1" applyBorder="1"/>
    <xf numFmtId="171" fontId="20" fillId="9" borderId="0" xfId="0" applyNumberFormat="1" applyFont="1" applyFill="1" applyBorder="1" applyAlignment="1">
      <alignment horizontal="right"/>
    </xf>
    <xf numFmtId="169" fontId="23" fillId="9" borderId="0" xfId="0" applyNumberFormat="1" applyFont="1" applyFill="1" applyBorder="1" applyAlignment="1">
      <alignment horizontal="center"/>
    </xf>
    <xf numFmtId="0" fontId="20" fillId="9" borderId="0" xfId="0" applyNumberFormat="1" applyFont="1" applyFill="1" applyBorder="1"/>
    <xf numFmtId="0" fontId="24" fillId="9" borderId="0" xfId="2" applyNumberFormat="1" applyFont="1" applyFill="1" applyBorder="1" applyAlignment="1">
      <alignment horizontal="center"/>
    </xf>
    <xf numFmtId="165" fontId="27" fillId="9" borderId="0" xfId="0" applyNumberFormat="1" applyFont="1" applyFill="1" applyBorder="1" applyAlignment="1">
      <alignment horizontal="left"/>
    </xf>
    <xf numFmtId="168" fontId="28" fillId="9" borderId="0" xfId="2" applyNumberFormat="1" applyFont="1" applyFill="1" applyBorder="1"/>
    <xf numFmtId="168" fontId="27" fillId="9" borderId="0" xfId="0" applyNumberFormat="1" applyFont="1" applyFill="1" applyBorder="1" applyAlignment="1">
      <alignment horizontal="right"/>
    </xf>
    <xf numFmtId="167" fontId="20" fillId="9" borderId="0" xfId="0" applyNumberFormat="1" applyFont="1" applyFill="1" applyBorder="1" applyAlignment="1">
      <alignment horizontal="left" indent="4"/>
    </xf>
    <xf numFmtId="167" fontId="21" fillId="9" borderId="7" xfId="0" applyNumberFormat="1" applyFont="1" applyFill="1" applyBorder="1" applyAlignment="1">
      <alignment horizontal="left" indent="4"/>
    </xf>
    <xf numFmtId="167" fontId="21" fillId="9" borderId="0" xfId="0" applyNumberFormat="1" applyFont="1" applyFill="1" applyBorder="1" applyAlignment="1">
      <alignment horizontal="left"/>
    </xf>
    <xf numFmtId="167" fontId="21" fillId="9" borderId="0" xfId="0" applyNumberFormat="1" applyFont="1" applyFill="1" applyBorder="1" applyAlignment="1">
      <alignment horizontal="left" indent="4"/>
    </xf>
    <xf numFmtId="167" fontId="20" fillId="9" borderId="2" xfId="0" applyNumberFormat="1" applyFont="1" applyFill="1" applyBorder="1" applyAlignment="1">
      <alignment horizontal="left" indent="4"/>
    </xf>
    <xf numFmtId="167" fontId="20" fillId="9" borderId="2" xfId="0" applyNumberFormat="1" applyFont="1" applyFill="1" applyBorder="1"/>
    <xf numFmtId="170" fontId="20" fillId="9" borderId="0" xfId="0" applyNumberFormat="1" applyFont="1" applyFill="1" applyBorder="1" applyAlignment="1">
      <alignment horizontal="left" indent="4"/>
    </xf>
    <xf numFmtId="170" fontId="21" fillId="9" borderId="0" xfId="0" applyNumberFormat="1" applyFont="1" applyFill="1" applyBorder="1" applyAlignment="1">
      <alignment horizontal="left" indent="4"/>
    </xf>
    <xf numFmtId="165" fontId="21" fillId="9" borderId="7" xfId="0" applyNumberFormat="1" applyFont="1" applyFill="1" applyBorder="1" applyAlignment="1">
      <alignment horizontal="left" indent="4"/>
    </xf>
    <xf numFmtId="165" fontId="21" fillId="9" borderId="0" xfId="0" applyNumberFormat="1" applyFont="1" applyFill="1" applyBorder="1" applyAlignment="1">
      <alignment horizontal="left" indent="4"/>
    </xf>
    <xf numFmtId="165" fontId="21" fillId="9" borderId="0" xfId="0" applyNumberFormat="1" applyFont="1" applyFill="1" applyBorder="1" applyAlignment="1">
      <alignment horizontal="left"/>
    </xf>
    <xf numFmtId="165" fontId="20" fillId="9" borderId="0" xfId="0" applyNumberFormat="1" applyFont="1" applyFill="1" applyBorder="1" applyAlignment="1">
      <alignment horizontal="left"/>
    </xf>
    <xf numFmtId="168" fontId="20" fillId="9" borderId="0" xfId="0" applyNumberFormat="1" applyFont="1" applyFill="1" applyBorder="1" applyAlignment="1">
      <alignment horizontal="left" indent="4"/>
    </xf>
    <xf numFmtId="186" fontId="25" fillId="9" borderId="0" xfId="1" applyNumberFormat="1" applyFont="1" applyFill="1" applyBorder="1" applyAlignment="1">
      <alignment horizontal="left" indent="4"/>
    </xf>
    <xf numFmtId="168" fontId="20" fillId="9" borderId="2" xfId="0" applyNumberFormat="1" applyFont="1" applyFill="1" applyBorder="1" applyAlignment="1">
      <alignment horizontal="left" indent="4"/>
    </xf>
    <xf numFmtId="168" fontId="21" fillId="9" borderId="7" xfId="0" applyNumberFormat="1" applyFont="1" applyFill="1" applyBorder="1" applyAlignment="1">
      <alignment horizontal="left" indent="4"/>
    </xf>
    <xf numFmtId="167" fontId="20" fillId="9" borderId="0" xfId="0" applyNumberFormat="1" applyFont="1" applyFill="1" applyBorder="1" applyAlignment="1">
      <alignment horizontal="left"/>
    </xf>
    <xf numFmtId="167" fontId="21" fillId="9" borderId="2" xfId="0" applyNumberFormat="1" applyFont="1" applyFill="1" applyBorder="1" applyAlignment="1">
      <alignment horizontal="left" indent="4"/>
    </xf>
    <xf numFmtId="167" fontId="20" fillId="9" borderId="0" xfId="0" applyNumberFormat="1" applyFont="1" applyFill="1" applyBorder="1" applyAlignment="1">
      <alignment horizontal="right"/>
    </xf>
    <xf numFmtId="167" fontId="21" fillId="9" borderId="7" xfId="0" applyNumberFormat="1" applyFont="1" applyFill="1" applyBorder="1" applyAlignment="1">
      <alignment horizontal="right"/>
    </xf>
    <xf numFmtId="165" fontId="20" fillId="9" borderId="7" xfId="0" applyNumberFormat="1" applyFont="1" applyFill="1" applyBorder="1" applyAlignment="1">
      <alignment horizontal="left" indent="3"/>
    </xf>
    <xf numFmtId="165" fontId="21" fillId="9" borderId="7" xfId="0" applyNumberFormat="1" applyFont="1" applyFill="1" applyBorder="1" applyAlignment="1">
      <alignment horizontal="left" indent="3"/>
    </xf>
    <xf numFmtId="168" fontId="30" fillId="9" borderId="0" xfId="2" applyNumberFormat="1" applyFont="1" applyFill="1" applyBorder="1" applyAlignment="1">
      <alignment horizontal="left" indent="1"/>
    </xf>
    <xf numFmtId="165" fontId="21" fillId="9" borderId="10" xfId="0" applyNumberFormat="1" applyFont="1" applyFill="1" applyBorder="1" applyAlignment="1">
      <alignment horizontal="left" indent="3"/>
    </xf>
    <xf numFmtId="165" fontId="20" fillId="9" borderId="7" xfId="0" applyNumberFormat="1" applyFont="1" applyFill="1" applyBorder="1" applyAlignment="1">
      <alignment horizontal="left" indent="1"/>
    </xf>
    <xf numFmtId="168" fontId="20" fillId="9" borderId="0" xfId="0" applyNumberFormat="1" applyFont="1" applyFill="1" applyBorder="1" applyAlignment="1">
      <alignment horizontal="left" indent="1"/>
    </xf>
    <xf numFmtId="168" fontId="20" fillId="9" borderId="0" xfId="0" applyNumberFormat="1" applyFont="1" applyFill="1" applyBorder="1" applyAlignment="1">
      <alignment horizontal="left" indent="3"/>
    </xf>
    <xf numFmtId="165" fontId="20" fillId="9" borderId="10" xfId="0" applyNumberFormat="1" applyFont="1" applyFill="1" applyBorder="1" applyAlignment="1">
      <alignment horizontal="left" indent="3"/>
    </xf>
    <xf numFmtId="165" fontId="30" fillId="9" borderId="7" xfId="0" applyNumberFormat="1" applyFont="1" applyFill="1" applyBorder="1" applyAlignment="1">
      <alignment horizontal="left" indent="1"/>
    </xf>
    <xf numFmtId="165" fontId="25" fillId="9" borderId="7" xfId="0" applyNumberFormat="1" applyFont="1" applyFill="1" applyBorder="1" applyAlignment="1">
      <alignment horizontal="left" indent="3"/>
    </xf>
    <xf numFmtId="168" fontId="21" fillId="9" borderId="0" xfId="0" applyNumberFormat="1" applyFont="1" applyFill="1" applyBorder="1" applyAlignment="1">
      <alignment horizontal="left" indent="3"/>
    </xf>
    <xf numFmtId="170" fontId="21" fillId="9" borderId="0" xfId="0" applyNumberFormat="1" applyFont="1" applyFill="1" applyBorder="1" applyAlignment="1">
      <alignment horizontal="left" indent="3"/>
    </xf>
    <xf numFmtId="173" fontId="20" fillId="9" borderId="0" xfId="0" applyNumberFormat="1" applyFont="1" applyFill="1" applyBorder="1" applyAlignment="1">
      <alignment horizontal="left" indent="3"/>
    </xf>
    <xf numFmtId="173" fontId="23" fillId="9" borderId="0" xfId="2" applyNumberFormat="1" applyFont="1" applyFill="1" applyBorder="1"/>
    <xf numFmtId="173" fontId="21" fillId="9" borderId="0" xfId="0" applyNumberFormat="1" applyFont="1" applyFill="1" applyBorder="1" applyAlignment="1">
      <alignment horizontal="left" indent="3"/>
    </xf>
    <xf numFmtId="165" fontId="20" fillId="9" borderId="11" xfId="0" applyNumberFormat="1" applyFont="1" applyFill="1" applyBorder="1" applyAlignment="1">
      <alignment horizontal="left" indent="3"/>
    </xf>
    <xf numFmtId="171" fontId="21" fillId="9" borderId="0" xfId="0" applyNumberFormat="1" applyFont="1" applyFill="1" applyBorder="1" applyAlignment="1">
      <alignment horizontal="left" indent="3"/>
    </xf>
    <xf numFmtId="171" fontId="21" fillId="9" borderId="0" xfId="0" applyNumberFormat="1" applyFont="1" applyFill="1" applyBorder="1"/>
    <xf numFmtId="0" fontId="20" fillId="9" borderId="0" xfId="0" applyNumberFormat="1" applyFont="1" applyFill="1" applyBorder="1" applyAlignment="1">
      <alignment horizontal="left" indent="3"/>
    </xf>
    <xf numFmtId="171" fontId="23" fillId="9" borderId="0" xfId="0" applyNumberFormat="1" applyFont="1" applyFill="1" applyBorder="1"/>
    <xf numFmtId="171" fontId="20" fillId="9" borderId="0" xfId="0" applyNumberFormat="1" applyFont="1" applyFill="1" applyBorder="1" applyAlignment="1">
      <alignment horizontal="left" indent="3"/>
    </xf>
    <xf numFmtId="171" fontId="20" fillId="9" borderId="0" xfId="0" applyNumberFormat="1" applyFont="1" applyFill="1" applyBorder="1"/>
    <xf numFmtId="168" fontId="20" fillId="9" borderId="0" xfId="0" applyNumberFormat="1" applyFont="1" applyFill="1" applyBorder="1" applyAlignment="1">
      <alignment horizontal="left"/>
    </xf>
    <xf numFmtId="189" fontId="23" fillId="9" borderId="0" xfId="2" applyNumberFormat="1" applyFont="1" applyFill="1" applyBorder="1"/>
    <xf numFmtId="190" fontId="23" fillId="9" borderId="0" xfId="2" applyNumberFormat="1" applyFont="1" applyFill="1" applyBorder="1"/>
    <xf numFmtId="186" fontId="21" fillId="9" borderId="0" xfId="0" applyNumberFormat="1" applyFont="1" applyFill="1" applyBorder="1"/>
    <xf numFmtId="168" fontId="27" fillId="9" borderId="0" xfId="0" applyNumberFormat="1" applyFont="1" applyFill="1" applyBorder="1" applyAlignment="1">
      <alignment horizontal="left" indent="3"/>
    </xf>
    <xf numFmtId="168" fontId="27" fillId="9" borderId="0" xfId="0" applyNumberFormat="1" applyFont="1" applyFill="1" applyBorder="1"/>
    <xf numFmtId="165" fontId="21" fillId="9" borderId="19" xfId="0" applyNumberFormat="1" applyFont="1" applyFill="1" applyBorder="1" applyAlignment="1">
      <alignment horizontal="left" indent="3"/>
    </xf>
    <xf numFmtId="165" fontId="23" fillId="9" borderId="11" xfId="8" applyNumberFormat="1" applyFont="1" applyFill="1" applyBorder="1" applyAlignment="1">
      <alignment horizontal="left" indent="1"/>
    </xf>
    <xf numFmtId="167" fontId="21" fillId="9" borderId="14" xfId="0" applyNumberFormat="1" applyFont="1" applyFill="1" applyBorder="1"/>
    <xf numFmtId="167" fontId="24" fillId="9" borderId="0" xfId="8" applyNumberFormat="1" applyFont="1" applyFill="1" applyBorder="1"/>
    <xf numFmtId="167" fontId="20" fillId="9" borderId="14" xfId="0" applyNumberFormat="1" applyFont="1" applyFill="1" applyBorder="1"/>
    <xf numFmtId="167" fontId="20" fillId="9" borderId="11" xfId="0" applyNumberFormat="1" applyFont="1" applyFill="1" applyBorder="1"/>
    <xf numFmtId="0" fontId="21" fillId="9" borderId="0" xfId="0" applyNumberFormat="1" applyFont="1" applyFill="1" applyBorder="1"/>
    <xf numFmtId="165" fontId="23" fillId="9" borderId="19" xfId="8" applyNumberFormat="1" applyFont="1" applyFill="1" applyBorder="1" applyAlignment="1">
      <alignment horizontal="left" indent="1"/>
    </xf>
    <xf numFmtId="167" fontId="20" fillId="9" borderId="19" xfId="0" applyNumberFormat="1" applyFont="1" applyFill="1" applyBorder="1"/>
    <xf numFmtId="165" fontId="23" fillId="9" borderId="1" xfId="8" applyNumberFormat="1" applyFont="1" applyFill="1" applyBorder="1" applyAlignment="1">
      <alignment horizontal="left" indent="1"/>
    </xf>
    <xf numFmtId="167" fontId="23" fillId="9" borderId="11" xfId="8" applyNumberFormat="1" applyFont="1" applyFill="1" applyBorder="1"/>
    <xf numFmtId="0" fontId="20" fillId="9" borderId="19" xfId="0" applyNumberFormat="1" applyFont="1" applyFill="1" applyBorder="1"/>
    <xf numFmtId="1" fontId="5" fillId="6" borderId="0" xfId="0" applyNumberFormat="1" applyFont="1" applyFill="1" applyBorder="1" applyAlignment="1">
      <alignment horizontal="center"/>
    </xf>
    <xf numFmtId="17" fontId="0" fillId="6" borderId="0" xfId="0" applyNumberFormat="1" applyFont="1" applyFill="1" applyBorder="1" applyAlignment="1">
      <alignment horizontal="center"/>
    </xf>
    <xf numFmtId="0" fontId="5" fillId="6" borderId="0" xfId="0" applyNumberFormat="1" applyFont="1" applyFill="1" applyBorder="1" applyAlignment="1">
      <alignment horizontal="center"/>
    </xf>
    <xf numFmtId="168" fontId="27" fillId="6" borderId="0" xfId="0" applyNumberFormat="1" applyFont="1" applyFill="1" applyBorder="1" applyAlignment="1">
      <alignment horizontal="right"/>
    </xf>
    <xf numFmtId="167" fontId="20" fillId="6" borderId="2" xfId="0" applyNumberFormat="1" applyFont="1" applyFill="1" applyBorder="1"/>
    <xf numFmtId="167" fontId="21" fillId="6" borderId="2" xfId="0" applyNumberFormat="1" applyFont="1" applyFill="1" applyBorder="1"/>
    <xf numFmtId="0" fontId="20" fillId="6" borderId="0" xfId="0" applyNumberFormat="1" applyFont="1" applyFill="1" applyBorder="1"/>
    <xf numFmtId="186" fontId="21" fillId="6" borderId="0" xfId="0" applyNumberFormat="1" applyFont="1" applyFill="1" applyBorder="1"/>
    <xf numFmtId="168" fontId="27" fillId="6" borderId="0" xfId="0" applyNumberFormat="1" applyFont="1" applyFill="1" applyBorder="1"/>
    <xf numFmtId="17" fontId="1" fillId="6" borderId="0" xfId="0" applyNumberFormat="1" applyFont="1" applyFill="1" applyBorder="1" applyAlignment="1">
      <alignment horizontal="center"/>
    </xf>
    <xf numFmtId="0" fontId="2" fillId="6" borderId="0" xfId="0" applyNumberFormat="1" applyFont="1" applyFill="1" applyBorder="1" applyAlignment="1">
      <alignment horizontal="center"/>
    </xf>
    <xf numFmtId="167" fontId="20" fillId="6" borderId="0" xfId="0" applyNumberFormat="1" applyFont="1" applyFill="1" applyBorder="1" applyAlignment="1">
      <alignment horizontal="right"/>
    </xf>
    <xf numFmtId="167" fontId="21" fillId="6" borderId="7" xfId="0" applyNumberFormat="1" applyFont="1" applyFill="1" applyBorder="1" applyAlignment="1">
      <alignment horizontal="right"/>
    </xf>
    <xf numFmtId="1" fontId="21" fillId="6" borderId="0" xfId="0" applyNumberFormat="1" applyFont="1" applyFill="1" applyBorder="1" applyAlignment="1">
      <alignment horizontal="center"/>
    </xf>
    <xf numFmtId="17" fontId="23" fillId="6" borderId="0" xfId="0" applyNumberFormat="1" applyFont="1" applyFill="1" applyBorder="1" applyAlignment="1">
      <alignment horizontal="center"/>
    </xf>
    <xf numFmtId="0" fontId="24" fillId="6" borderId="0" xfId="0" applyNumberFormat="1" applyFont="1" applyFill="1" applyBorder="1" applyAlignment="1">
      <alignment horizontal="center"/>
    </xf>
    <xf numFmtId="170" fontId="30" fillId="6" borderId="0" xfId="0" applyNumberFormat="1" applyFont="1" applyFill="1" applyBorder="1"/>
    <xf numFmtId="0" fontId="21" fillId="9" borderId="6" xfId="0" applyNumberFormat="1" applyFont="1" applyFill="1" applyBorder="1"/>
    <xf numFmtId="167" fontId="23" fillId="9" borderId="4" xfId="8" applyNumberFormat="1" applyFont="1" applyFill="1" applyBorder="1"/>
    <xf numFmtId="167" fontId="23" fillId="9" borderId="1" xfId="8" applyNumberFormat="1" applyFont="1" applyFill="1" applyBorder="1"/>
    <xf numFmtId="1" fontId="5" fillId="9" borderId="29" xfId="0" applyNumberFormat="1" applyFont="1" applyFill="1" applyBorder="1" applyAlignment="1">
      <alignment horizontal="center"/>
    </xf>
    <xf numFmtId="168" fontId="22" fillId="10" borderId="29" xfId="0" applyNumberFormat="1" applyFont="1" applyFill="1" applyBorder="1"/>
    <xf numFmtId="168" fontId="20" fillId="9" borderId="29" xfId="0" applyNumberFormat="1" applyFont="1" applyFill="1" applyBorder="1" applyAlignment="1">
      <alignment horizontal="right"/>
    </xf>
    <xf numFmtId="168" fontId="20" fillId="9" borderId="30" xfId="0" applyNumberFormat="1" applyFont="1" applyFill="1" applyBorder="1" applyAlignment="1">
      <alignment horizontal="right"/>
    </xf>
    <xf numFmtId="168" fontId="21" fillId="9" borderId="29" xfId="0" applyNumberFormat="1" applyFont="1" applyFill="1" applyBorder="1" applyAlignment="1">
      <alignment horizontal="right"/>
    </xf>
    <xf numFmtId="168" fontId="5" fillId="9" borderId="31" xfId="0" applyNumberFormat="1" applyFont="1" applyFill="1" applyBorder="1" applyAlignment="1">
      <alignment horizontal="right"/>
    </xf>
    <xf numFmtId="168" fontId="5" fillId="9" borderId="29" xfId="0" applyNumberFormat="1" applyFont="1" applyFill="1" applyBorder="1" applyAlignment="1">
      <alignment horizontal="right"/>
    </xf>
    <xf numFmtId="168" fontId="27" fillId="9" borderId="29" xfId="0" applyNumberFormat="1" applyFont="1" applyFill="1" applyBorder="1" applyAlignment="1">
      <alignment horizontal="right"/>
    </xf>
    <xf numFmtId="167" fontId="20" fillId="9" borderId="29" xfId="0" applyNumberFormat="1" applyFont="1" applyFill="1" applyBorder="1"/>
    <xf numFmtId="167" fontId="0" fillId="9" borderId="29" xfId="0" applyNumberFormat="1" applyFont="1" applyFill="1" applyBorder="1"/>
    <xf numFmtId="167" fontId="21" fillId="9" borderId="29" xfId="0" applyNumberFormat="1" applyFont="1" applyFill="1" applyBorder="1"/>
    <xf numFmtId="167" fontId="20" fillId="9" borderId="30" xfId="0" applyNumberFormat="1" applyFont="1" applyFill="1" applyBorder="1"/>
    <xf numFmtId="170" fontId="20" fillId="9" borderId="29" xfId="0" applyNumberFormat="1" applyFont="1" applyFill="1" applyBorder="1"/>
    <xf numFmtId="180" fontId="21" fillId="9" borderId="29" xfId="0" applyNumberFormat="1" applyFont="1" applyFill="1" applyBorder="1"/>
    <xf numFmtId="186" fontId="25" fillId="9" borderId="29" xfId="1" applyNumberFormat="1" applyFont="1" applyFill="1" applyBorder="1"/>
    <xf numFmtId="168" fontId="20" fillId="9" borderId="29" xfId="0" applyNumberFormat="1" applyFont="1" applyFill="1" applyBorder="1"/>
    <xf numFmtId="168" fontId="20" fillId="9" borderId="30" xfId="0" applyNumberFormat="1" applyFont="1" applyFill="1" applyBorder="1"/>
    <xf numFmtId="168" fontId="21" fillId="9" borderId="31" xfId="0" applyNumberFormat="1" applyFont="1" applyFill="1" applyBorder="1"/>
    <xf numFmtId="167" fontId="21" fillId="9" borderId="31" xfId="0" applyNumberFormat="1" applyFont="1" applyFill="1" applyBorder="1"/>
    <xf numFmtId="167" fontId="21" fillId="9" borderId="29" xfId="0" applyNumberFormat="1" applyFont="1" applyFill="1" applyBorder="1" applyAlignment="1">
      <alignment horizontal="right"/>
    </xf>
    <xf numFmtId="168" fontId="25" fillId="9" borderId="29" xfId="0" applyNumberFormat="1" applyFont="1" applyFill="1" applyBorder="1" applyAlignment="1">
      <alignment horizontal="left" indent="1"/>
    </xf>
    <xf numFmtId="168" fontId="5" fillId="9" borderId="29" xfId="0" applyNumberFormat="1" applyFont="1" applyFill="1" applyBorder="1"/>
    <xf numFmtId="170" fontId="5" fillId="9" borderId="29" xfId="2" applyNumberFormat="1" applyFont="1" applyFill="1" applyBorder="1"/>
    <xf numFmtId="173" fontId="20" fillId="9" borderId="29" xfId="0" applyNumberFormat="1" applyFont="1" applyFill="1" applyBorder="1"/>
    <xf numFmtId="189" fontId="21" fillId="9" borderId="29" xfId="0" applyNumberFormat="1" applyFont="1" applyFill="1" applyBorder="1"/>
    <xf numFmtId="171" fontId="21" fillId="9" borderId="29" xfId="0" applyNumberFormat="1" applyFont="1" applyFill="1" applyBorder="1" applyAlignment="1">
      <alignment horizontal="right"/>
    </xf>
    <xf numFmtId="0" fontId="20" fillId="9" borderId="29" xfId="0" applyNumberFormat="1" applyFont="1" applyFill="1" applyBorder="1"/>
    <xf numFmtId="189" fontId="5" fillId="9" borderId="29" xfId="0" applyNumberFormat="1" applyFont="1" applyFill="1" applyBorder="1" applyAlignment="1">
      <alignment horizontal="right"/>
    </xf>
    <xf numFmtId="189" fontId="0" fillId="9" borderId="29" xfId="0" applyNumberFormat="1" applyFont="1" applyFill="1" applyBorder="1" applyAlignment="1">
      <alignment horizontal="right"/>
    </xf>
    <xf numFmtId="190" fontId="0" fillId="9" borderId="29" xfId="0" applyNumberFormat="1" applyFont="1" applyFill="1" applyBorder="1" applyAlignment="1">
      <alignment horizontal="right"/>
    </xf>
    <xf numFmtId="186" fontId="21" fillId="9" borderId="29" xfId="0" applyNumberFormat="1" applyFont="1" applyFill="1" applyBorder="1"/>
    <xf numFmtId="168" fontId="40" fillId="9" borderId="29" xfId="0" applyNumberFormat="1" applyFont="1" applyFill="1" applyBorder="1"/>
    <xf numFmtId="168" fontId="19" fillId="9" borderId="29" xfId="0" applyNumberFormat="1" applyFont="1" applyFill="1" applyBorder="1" applyAlignment="1">
      <alignment horizontal="right"/>
    </xf>
    <xf numFmtId="167" fontId="5" fillId="9" borderId="29" xfId="0" applyNumberFormat="1" applyFont="1" applyFill="1" applyBorder="1" applyAlignment="1">
      <alignment horizontal="right"/>
    </xf>
    <xf numFmtId="168" fontId="25" fillId="9" borderId="29" xfId="0" applyNumberFormat="1" applyFont="1" applyFill="1" applyBorder="1" applyAlignment="1">
      <alignment horizontal="right"/>
    </xf>
    <xf numFmtId="0" fontId="21" fillId="9" borderId="29" xfId="0" applyNumberFormat="1" applyFont="1" applyFill="1" applyBorder="1"/>
    <xf numFmtId="167" fontId="20" fillId="9" borderId="32" xfId="0" applyNumberFormat="1" applyFont="1" applyFill="1" applyBorder="1"/>
    <xf numFmtId="165" fontId="20" fillId="9" borderId="33" xfId="0" applyNumberFormat="1" applyFont="1" applyFill="1" applyBorder="1"/>
    <xf numFmtId="165" fontId="20" fillId="9" borderId="34" xfId="0" applyNumberFormat="1" applyFont="1" applyFill="1" applyBorder="1"/>
    <xf numFmtId="17" fontId="20" fillId="9" borderId="29" xfId="0" applyNumberFormat="1" applyFont="1" applyFill="1" applyBorder="1"/>
    <xf numFmtId="189" fontId="20" fillId="9" borderId="29" xfId="0" applyNumberFormat="1" applyFont="1" applyFill="1" applyBorder="1"/>
    <xf numFmtId="190" fontId="20" fillId="9" borderId="29" xfId="0" applyNumberFormat="1" applyFont="1" applyFill="1" applyBorder="1"/>
    <xf numFmtId="165" fontId="20" fillId="9" borderId="32" xfId="0" applyNumberFormat="1" applyFont="1" applyFill="1" applyBorder="1"/>
    <xf numFmtId="17" fontId="27" fillId="6" borderId="0" xfId="10" applyNumberFormat="1" applyFont="1" applyFill="1" applyBorder="1" applyAlignment="1">
      <alignment horizontal="center"/>
    </xf>
    <xf numFmtId="165" fontId="21" fillId="6" borderId="0" xfId="10" applyNumberFormat="1" applyFont="1" applyFill="1" applyBorder="1" applyAlignment="1">
      <alignment horizontal="center"/>
    </xf>
    <xf numFmtId="17" fontId="28" fillId="6" borderId="0" xfId="10" applyNumberFormat="1" applyFont="1" applyFill="1" applyBorder="1" applyAlignment="1">
      <alignment horizontal="center"/>
    </xf>
    <xf numFmtId="165" fontId="24" fillId="6" borderId="0" xfId="10" applyNumberFormat="1" applyFont="1" applyFill="1" applyBorder="1" applyAlignment="1">
      <alignment horizontal="center"/>
    </xf>
    <xf numFmtId="17" fontId="28" fillId="9" borderId="29" xfId="10" applyNumberFormat="1" applyFont="1" applyFill="1" applyBorder="1" applyAlignment="1">
      <alignment horizontal="center"/>
    </xf>
    <xf numFmtId="165" fontId="24" fillId="9" borderId="29" xfId="10" applyNumberFormat="1" applyFont="1" applyFill="1" applyBorder="1" applyAlignment="1">
      <alignment horizontal="center"/>
    </xf>
    <xf numFmtId="165" fontId="31" fillId="10" borderId="29" xfId="10" applyNumberFormat="1" applyFont="1" applyFill="1" applyBorder="1"/>
    <xf numFmtId="189" fontId="21" fillId="9" borderId="29" xfId="10" applyNumberFormat="1" applyFont="1" applyFill="1" applyBorder="1" applyAlignment="1">
      <alignment horizontal="right"/>
    </xf>
    <xf numFmtId="167" fontId="21" fillId="9" borderId="31" xfId="10" applyNumberFormat="1" applyFont="1" applyFill="1" applyBorder="1"/>
    <xf numFmtId="167" fontId="20" fillId="9" borderId="29" xfId="10" applyNumberFormat="1" applyFont="1" applyFill="1" applyBorder="1"/>
    <xf numFmtId="167" fontId="20" fillId="9" borderId="30" xfId="10" applyNumberFormat="1" applyFont="1" applyFill="1" applyBorder="1"/>
    <xf numFmtId="170" fontId="21" fillId="9" borderId="29" xfId="10" applyNumberFormat="1" applyFont="1" applyFill="1" applyBorder="1"/>
    <xf numFmtId="168" fontId="32" fillId="10" borderId="29" xfId="10" applyNumberFormat="1" applyFont="1" applyFill="1" applyBorder="1"/>
    <xf numFmtId="168" fontId="21" fillId="9" borderId="29" xfId="10" applyNumberFormat="1" applyFont="1" applyFill="1" applyBorder="1" applyAlignment="1">
      <alignment horizontal="center"/>
    </xf>
    <xf numFmtId="168" fontId="20" fillId="9" borderId="29" xfId="10" applyNumberFormat="1" applyFont="1" applyFill="1" applyBorder="1" applyAlignment="1">
      <alignment horizontal="right"/>
    </xf>
    <xf numFmtId="168" fontId="20" fillId="9" borderId="30" xfId="10" applyNumberFormat="1" applyFont="1" applyFill="1" applyBorder="1" applyAlignment="1">
      <alignment horizontal="right"/>
    </xf>
    <xf numFmtId="168" fontId="21" fillId="9" borderId="29" xfId="10" applyNumberFormat="1" applyFont="1" applyFill="1" applyBorder="1" applyAlignment="1">
      <alignment horizontal="right"/>
    </xf>
    <xf numFmtId="181" fontId="21" fillId="9" borderId="29" xfId="10" applyNumberFormat="1" applyFont="1" applyFill="1" applyBorder="1" applyAlignment="1">
      <alignment horizontal="right"/>
    </xf>
    <xf numFmtId="171" fontId="21" fillId="9" borderId="29" xfId="10" applyNumberFormat="1" applyFont="1" applyFill="1" applyBorder="1"/>
    <xf numFmtId="182" fontId="21" fillId="9" borderId="29" xfId="10" applyNumberFormat="1" applyFont="1" applyFill="1" applyBorder="1" applyAlignment="1">
      <alignment horizontal="right"/>
    </xf>
    <xf numFmtId="171" fontId="20" fillId="9" borderId="29" xfId="10" applyNumberFormat="1" applyFont="1" applyFill="1" applyBorder="1"/>
    <xf numFmtId="0" fontId="20" fillId="9" borderId="29" xfId="10" applyNumberFormat="1" applyFont="1" applyFill="1" applyBorder="1"/>
    <xf numFmtId="0" fontId="3" fillId="0" borderId="16" xfId="6" applyBorder="1"/>
    <xf numFmtId="165" fontId="5" fillId="0" borderId="0" xfId="0" applyNumberFormat="1" applyFont="1" applyFill="1" applyBorder="1"/>
    <xf numFmtId="192" fontId="14" fillId="5" borderId="0" xfId="9" applyNumberFormat="1" applyFont="1" applyFill="1" applyBorder="1"/>
    <xf numFmtId="192" fontId="20" fillId="9" borderId="0" xfId="0" applyNumberFormat="1" applyFont="1" applyFill="1" applyBorder="1"/>
    <xf numFmtId="17" fontId="1" fillId="9" borderId="29" xfId="0" applyNumberFormat="1" applyFont="1" applyFill="1" applyBorder="1" applyAlignment="1">
      <alignment horizontal="center"/>
    </xf>
    <xf numFmtId="0" fontId="2" fillId="9" borderId="29" xfId="0" applyNumberFormat="1" applyFont="1" applyFill="1" applyBorder="1" applyAlignment="1">
      <alignment horizontal="center"/>
    </xf>
    <xf numFmtId="167" fontId="20" fillId="9" borderId="29" xfId="0" applyNumberFormat="1" applyFont="1" applyFill="1" applyBorder="1" applyAlignment="1">
      <alignment horizontal="right"/>
    </xf>
    <xf numFmtId="167" fontId="21" fillId="9" borderId="31" xfId="0" applyNumberFormat="1" applyFont="1" applyFill="1" applyBorder="1" applyAlignment="1">
      <alignment horizontal="right"/>
    </xf>
    <xf numFmtId="168" fontId="25" fillId="9" borderId="29" xfId="0" applyNumberFormat="1" applyFont="1" applyFill="1" applyBorder="1"/>
    <xf numFmtId="170" fontId="25" fillId="9" borderId="29" xfId="0" applyNumberFormat="1" applyFont="1" applyFill="1" applyBorder="1"/>
    <xf numFmtId="171" fontId="20" fillId="9" borderId="29" xfId="0" applyNumberFormat="1" applyFont="1" applyFill="1" applyBorder="1" applyAlignment="1">
      <alignment horizontal="right"/>
    </xf>
    <xf numFmtId="0" fontId="3" fillId="9" borderId="35" xfId="6" applyFill="1" applyBorder="1"/>
    <xf numFmtId="170" fontId="5" fillId="9" borderId="29" xfId="0" applyNumberFormat="1" applyFont="1" applyFill="1" applyBorder="1"/>
    <xf numFmtId="168" fontId="0" fillId="9" borderId="29" xfId="0" applyNumberFormat="1" applyFont="1" applyFill="1" applyBorder="1"/>
    <xf numFmtId="168" fontId="30" fillId="9" borderId="0" xfId="2" applyNumberFormat="1" applyFont="1" applyFill="1" applyBorder="1"/>
    <xf numFmtId="168" fontId="0" fillId="9" borderId="29" xfId="0" applyNumberFormat="1" applyFont="1" applyFill="1" applyBorder="1" applyAlignment="1">
      <alignment horizontal="right"/>
    </xf>
    <xf numFmtId="168" fontId="0" fillId="9" borderId="0" xfId="0" applyNumberFormat="1" applyFont="1" applyFill="1" applyBorder="1" applyAlignment="1">
      <alignment horizontal="left" indent="3"/>
    </xf>
    <xf numFmtId="168" fontId="0" fillId="9" borderId="2" xfId="0" applyNumberFormat="1" applyFont="1" applyFill="1" applyBorder="1" applyAlignment="1">
      <alignment horizontal="left" indent="3"/>
    </xf>
    <xf numFmtId="167" fontId="5" fillId="9" borderId="29" xfId="0" applyNumberFormat="1" applyFont="1" applyFill="1" applyBorder="1"/>
    <xf numFmtId="168" fontId="19" fillId="9" borderId="0" xfId="0" applyNumberFormat="1" applyFont="1" applyFill="1" applyBorder="1"/>
    <xf numFmtId="0" fontId="19" fillId="0" borderId="0" xfId="0" applyNumberFormat="1" applyFont="1" applyFill="1" applyBorder="1"/>
    <xf numFmtId="167" fontId="25" fillId="9" borderId="0" xfId="0" applyNumberFormat="1" applyFont="1" applyFill="1" applyBorder="1" applyAlignment="1">
      <alignment horizontal="left" indent="4"/>
    </xf>
    <xf numFmtId="167" fontId="19" fillId="9" borderId="0" xfId="0" applyNumberFormat="1" applyFont="1" applyFill="1" applyBorder="1" applyAlignment="1">
      <alignment horizontal="left" indent="1"/>
    </xf>
    <xf numFmtId="168" fontId="19" fillId="9" borderId="29" xfId="0" applyNumberFormat="1" applyFont="1" applyFill="1" applyBorder="1"/>
    <xf numFmtId="168" fontId="36" fillId="9" borderId="0" xfId="0" applyNumberFormat="1" applyFont="1" applyFill="1" applyBorder="1"/>
    <xf numFmtId="168" fontId="25" fillId="9" borderId="0" xfId="0" applyNumberFormat="1" applyFont="1" applyFill="1" applyBorder="1" applyAlignment="1">
      <alignment horizontal="left" indent="4"/>
    </xf>
    <xf numFmtId="168" fontId="19" fillId="0" borderId="0" xfId="0" applyNumberFormat="1" applyFont="1" applyFill="1" applyBorder="1"/>
    <xf numFmtId="170" fontId="0" fillId="9" borderId="0" xfId="0" applyNumberFormat="1" applyFont="1" applyFill="1" applyBorder="1" applyAlignment="1">
      <alignment horizontal="left" indent="1"/>
    </xf>
    <xf numFmtId="194" fontId="0" fillId="0" borderId="0" xfId="0" applyNumberFormat="1" applyFont="1" applyFill="1" applyBorder="1"/>
    <xf numFmtId="194" fontId="23" fillId="9" borderId="0" xfId="2" applyNumberFormat="1" applyFont="1" applyFill="1" applyBorder="1"/>
    <xf numFmtId="194" fontId="20" fillId="6" borderId="0" xfId="0" applyNumberFormat="1" applyFont="1" applyFill="1" applyBorder="1" applyAlignment="1">
      <alignment horizontal="right"/>
    </xf>
    <xf numFmtId="194" fontId="20" fillId="9" borderId="0" xfId="0" applyNumberFormat="1" applyFont="1" applyFill="1" applyBorder="1" applyAlignment="1">
      <alignment horizontal="right"/>
    </xf>
    <xf numFmtId="194" fontId="20" fillId="9" borderId="29" xfId="0" applyNumberFormat="1" applyFont="1" applyFill="1" applyBorder="1" applyAlignment="1">
      <alignment horizontal="right"/>
    </xf>
    <xf numFmtId="194" fontId="0" fillId="9" borderId="0" xfId="0" applyNumberFormat="1" applyFont="1" applyFill="1" applyBorder="1"/>
    <xf numFmtId="170" fontId="5" fillId="9" borderId="0" xfId="0" applyNumberFormat="1" applyFont="1" applyFill="1" applyBorder="1" applyAlignment="1">
      <alignment horizontal="left"/>
    </xf>
    <xf numFmtId="170" fontId="25" fillId="9" borderId="0" xfId="0" applyNumberFormat="1" applyFont="1" applyFill="1" applyBorder="1" applyAlignment="1">
      <alignment horizontal="left" indent="1"/>
    </xf>
    <xf numFmtId="165" fontId="25" fillId="9" borderId="0" xfId="0" applyNumberFormat="1" applyFont="1" applyFill="1" applyBorder="1" applyAlignment="1">
      <alignment horizontal="left" indent="4"/>
    </xf>
    <xf numFmtId="170" fontId="19" fillId="9" borderId="0" xfId="0" applyNumberFormat="1" applyFont="1" applyFill="1" applyBorder="1" applyAlignment="1">
      <alignment horizontal="left" indent="1"/>
    </xf>
    <xf numFmtId="170" fontId="25" fillId="9" borderId="0" xfId="0" applyNumberFormat="1" applyFont="1" applyFill="1" applyBorder="1" applyAlignment="1">
      <alignment horizontal="left" indent="4"/>
    </xf>
    <xf numFmtId="168" fontId="19" fillId="9" borderId="0" xfId="0" applyNumberFormat="1" applyFont="1" applyFill="1" applyBorder="1" applyAlignment="1">
      <alignment horizontal="left"/>
    </xf>
    <xf numFmtId="0" fontId="19" fillId="0" borderId="0" xfId="0" applyNumberFormat="1" applyFont="1" applyFill="1" applyBorder="1" applyAlignment="1">
      <alignment horizontal="left"/>
    </xf>
    <xf numFmtId="168" fontId="30" fillId="9" borderId="0" xfId="2" applyNumberFormat="1" applyFont="1" applyFill="1" applyBorder="1" applyAlignment="1">
      <alignment horizontal="left"/>
    </xf>
    <xf numFmtId="168" fontId="25" fillId="6" borderId="0" xfId="0" applyNumberFormat="1" applyFont="1" applyFill="1" applyBorder="1" applyAlignment="1">
      <alignment horizontal="left"/>
    </xf>
    <xf numFmtId="168" fontId="25" fillId="9" borderId="0" xfId="0" applyNumberFormat="1" applyFont="1" applyFill="1" applyBorder="1" applyAlignment="1">
      <alignment horizontal="left"/>
    </xf>
    <xf numFmtId="168" fontId="19" fillId="6" borderId="0" xfId="0" applyNumberFormat="1" applyFont="1" applyFill="1" applyBorder="1" applyAlignment="1">
      <alignment horizontal="left"/>
    </xf>
    <xf numFmtId="168" fontId="19" fillId="9" borderId="29" xfId="0" applyNumberFormat="1" applyFont="1" applyFill="1" applyBorder="1" applyAlignment="1">
      <alignment horizontal="left"/>
    </xf>
    <xf numFmtId="167" fontId="0" fillId="9" borderId="30" xfId="0" applyNumberFormat="1" applyFont="1" applyFill="1" applyBorder="1"/>
    <xf numFmtId="168" fontId="0" fillId="9" borderId="30" xfId="0" applyNumberFormat="1" applyFont="1" applyFill="1" applyBorder="1"/>
    <xf numFmtId="168" fontId="20" fillId="9" borderId="2" xfId="0" applyNumberFormat="1" applyFont="1" applyFill="1" applyBorder="1" applyAlignment="1">
      <alignment horizontal="left" indent="1"/>
    </xf>
    <xf numFmtId="168" fontId="21" fillId="9" borderId="0" xfId="0" applyNumberFormat="1" applyFont="1" applyFill="1" applyBorder="1" applyAlignment="1">
      <alignment horizontal="left"/>
    </xf>
    <xf numFmtId="168" fontId="21" fillId="9" borderId="0" xfId="0" applyNumberFormat="1" applyFont="1" applyFill="1" applyBorder="1" applyAlignment="1">
      <alignment horizontal="left" indent="4"/>
    </xf>
    <xf numFmtId="168" fontId="21" fillId="9" borderId="29" xfId="0" applyNumberFormat="1" applyFont="1" applyFill="1" applyBorder="1"/>
    <xf numFmtId="167" fontId="25" fillId="9" borderId="0" xfId="0" applyNumberFormat="1" applyFont="1" applyFill="1" applyBorder="1" applyAlignment="1">
      <alignment horizontal="left" indent="1"/>
    </xf>
    <xf numFmtId="167" fontId="20" fillId="9" borderId="0" xfId="0" applyNumberFormat="1" applyFont="1" applyFill="1" applyBorder="1" applyAlignment="1">
      <alignment horizontal="left" indent="1"/>
    </xf>
    <xf numFmtId="167" fontId="20" fillId="9" borderId="2" xfId="0" applyNumberFormat="1" applyFont="1" applyFill="1" applyBorder="1" applyAlignment="1">
      <alignment horizontal="left" indent="1"/>
    </xf>
    <xf numFmtId="167" fontId="20" fillId="9" borderId="2" xfId="0" applyNumberFormat="1" applyFont="1" applyFill="1" applyBorder="1" applyAlignment="1">
      <alignment horizontal="left" indent="2"/>
    </xf>
    <xf numFmtId="194" fontId="20" fillId="9" borderId="0" xfId="0" applyNumberFormat="1" applyFont="1" applyFill="1" applyBorder="1" applyAlignment="1">
      <alignment horizontal="left" indent="2"/>
    </xf>
    <xf numFmtId="194" fontId="20" fillId="9" borderId="2" xfId="0" applyNumberFormat="1" applyFont="1" applyFill="1" applyBorder="1" applyAlignment="1">
      <alignment horizontal="left" indent="2"/>
    </xf>
    <xf numFmtId="194" fontId="23" fillId="9" borderId="2" xfId="2" applyNumberFormat="1" applyFont="1" applyFill="1" applyBorder="1"/>
    <xf numFmtId="194" fontId="20" fillId="6" borderId="2" xfId="0" applyNumberFormat="1" applyFont="1" applyFill="1" applyBorder="1" applyAlignment="1">
      <alignment horizontal="right"/>
    </xf>
    <xf numFmtId="194" fontId="20" fillId="9" borderId="2" xfId="0" applyNumberFormat="1" applyFont="1" applyFill="1" applyBorder="1" applyAlignment="1">
      <alignment horizontal="right"/>
    </xf>
    <xf numFmtId="194" fontId="20" fillId="9" borderId="30" xfId="0" applyNumberFormat="1" applyFont="1" applyFill="1" applyBorder="1" applyAlignment="1">
      <alignment horizontal="right"/>
    </xf>
    <xf numFmtId="194" fontId="20" fillId="9" borderId="0" xfId="0" applyNumberFormat="1" applyFont="1" applyFill="1" applyBorder="1" applyAlignment="1">
      <alignment horizontal="left" indent="1"/>
    </xf>
    <xf numFmtId="194" fontId="20" fillId="9" borderId="2" xfId="0" applyNumberFormat="1" applyFont="1" applyFill="1" applyBorder="1" applyAlignment="1">
      <alignment horizontal="left" indent="1"/>
    </xf>
    <xf numFmtId="167" fontId="20" fillId="9" borderId="0" xfId="0" applyNumberFormat="1" applyFont="1" applyFill="1" applyBorder="1" applyAlignment="1">
      <alignment horizontal="left" indent="3"/>
    </xf>
    <xf numFmtId="167" fontId="20" fillId="9" borderId="2" xfId="0" applyNumberFormat="1" applyFont="1" applyFill="1" applyBorder="1" applyAlignment="1">
      <alignment horizontal="left" indent="3"/>
    </xf>
    <xf numFmtId="167" fontId="50" fillId="0" borderId="0" xfId="10" applyNumberFormat="1"/>
    <xf numFmtId="0" fontId="47" fillId="9" borderId="0" xfId="6" applyFont="1" applyFill="1"/>
    <xf numFmtId="165" fontId="20" fillId="9" borderId="0" xfId="10" applyNumberFormat="1" applyFont="1" applyFill="1"/>
    <xf numFmtId="178" fontId="1" fillId="9" borderId="0" xfId="10" applyNumberFormat="1" applyFont="1" applyFill="1" applyAlignment="1">
      <alignment horizontal="left"/>
    </xf>
    <xf numFmtId="169" fontId="23" fillId="9" borderId="0" xfId="10" applyNumberFormat="1" applyFont="1" applyFill="1" applyAlignment="1">
      <alignment horizontal="center"/>
    </xf>
    <xf numFmtId="195" fontId="50" fillId="9" borderId="0" xfId="10" applyNumberFormat="1" applyFill="1"/>
    <xf numFmtId="187" fontId="2" fillId="9" borderId="0" xfId="10" applyNumberFormat="1" applyFont="1" applyFill="1" applyAlignment="1">
      <alignment horizontal="left"/>
    </xf>
    <xf numFmtId="170" fontId="4" fillId="9" borderId="0" xfId="16" applyNumberFormat="1" applyFont="1" applyFill="1" applyAlignment="1">
      <alignment horizontal="center"/>
    </xf>
    <xf numFmtId="0" fontId="5" fillId="6" borderId="0" xfId="10" applyFont="1" applyFill="1" applyAlignment="1">
      <alignment horizontal="center"/>
    </xf>
    <xf numFmtId="188" fontId="2" fillId="9" borderId="0" xfId="10" applyNumberFormat="1" applyFont="1" applyFill="1"/>
    <xf numFmtId="0" fontId="5" fillId="9" borderId="0" xfId="10" applyFont="1" applyFill="1" applyAlignment="1">
      <alignment horizontal="center"/>
    </xf>
    <xf numFmtId="17" fontId="50" fillId="6" borderId="0" xfId="10" applyNumberFormat="1" applyFill="1" applyAlignment="1">
      <alignment horizontal="center"/>
    </xf>
    <xf numFmtId="183" fontId="2" fillId="9" borderId="0" xfId="10" applyNumberFormat="1" applyFont="1" applyFill="1"/>
    <xf numFmtId="0" fontId="24" fillId="9" borderId="0" xfId="16" applyNumberFormat="1" applyFont="1" applyFill="1" applyAlignment="1">
      <alignment horizontal="center"/>
    </xf>
    <xf numFmtId="165" fontId="5" fillId="0" borderId="0" xfId="10" applyNumberFormat="1" applyFont="1"/>
    <xf numFmtId="167" fontId="5" fillId="0" borderId="0" xfId="10" applyNumberFormat="1" applyFont="1"/>
    <xf numFmtId="0" fontId="50" fillId="0" borderId="0" xfId="10"/>
    <xf numFmtId="167" fontId="50" fillId="9" borderId="0" xfId="10" applyNumberFormat="1" applyFill="1"/>
    <xf numFmtId="17" fontId="50" fillId="9" borderId="0" xfId="10" applyNumberFormat="1" applyFill="1" applyAlignment="1">
      <alignment horizontal="center"/>
    </xf>
    <xf numFmtId="165" fontId="5" fillId="9" borderId="0" xfId="10" applyNumberFormat="1" applyFont="1" applyFill="1"/>
    <xf numFmtId="167" fontId="5" fillId="9" borderId="0" xfId="10" applyNumberFormat="1" applyFont="1" applyFill="1"/>
    <xf numFmtId="0" fontId="50" fillId="9" borderId="0" xfId="10" applyFill="1"/>
    <xf numFmtId="165" fontId="28" fillId="9" borderId="0" xfId="10" applyNumberFormat="1" applyFont="1" applyFill="1" applyAlignment="1">
      <alignment horizontal="center"/>
    </xf>
    <xf numFmtId="167" fontId="21" fillId="9" borderId="0" xfId="10" applyNumberFormat="1" applyFont="1" applyFill="1" applyAlignment="1">
      <alignment horizontal="left"/>
    </xf>
    <xf numFmtId="167" fontId="21" fillId="9" borderId="0" xfId="10" applyNumberFormat="1" applyFont="1" applyFill="1" applyAlignment="1">
      <alignment horizontal="left" indent="4"/>
    </xf>
    <xf numFmtId="167" fontId="21" fillId="9" borderId="0" xfId="10" applyNumberFormat="1" applyFont="1" applyFill="1"/>
    <xf numFmtId="167" fontId="21" fillId="6" borderId="0" xfId="10" applyNumberFormat="1" applyFont="1" applyFill="1"/>
    <xf numFmtId="0" fontId="32" fillId="10" borderId="0" xfId="10" applyFont="1" applyFill="1"/>
    <xf numFmtId="0" fontId="32" fillId="10" borderId="0" xfId="10" applyNumberFormat="1" applyFont="1" applyFill="1"/>
    <xf numFmtId="195" fontId="50" fillId="9" borderId="0" xfId="10" applyNumberFormat="1" applyFill="1" applyBorder="1"/>
    <xf numFmtId="0" fontId="5" fillId="6" borderId="0" xfId="10" applyFont="1" applyFill="1" applyBorder="1" applyAlignment="1">
      <alignment horizontal="center"/>
    </xf>
    <xf numFmtId="0" fontId="5" fillId="9" borderId="0" xfId="10" applyFont="1" applyFill="1" applyBorder="1" applyAlignment="1">
      <alignment horizontal="center"/>
    </xf>
    <xf numFmtId="17" fontId="50" fillId="6" borderId="0" xfId="10" applyNumberFormat="1" applyFill="1" applyBorder="1" applyAlignment="1">
      <alignment horizontal="center"/>
    </xf>
    <xf numFmtId="17" fontId="50" fillId="9" borderId="0" xfId="10" applyNumberFormat="1" applyFill="1" applyBorder="1" applyAlignment="1">
      <alignment horizontal="center"/>
    </xf>
    <xf numFmtId="167" fontId="21" fillId="6" borderId="0" xfId="10" applyNumberFormat="1" applyFont="1" applyFill="1" applyBorder="1"/>
    <xf numFmtId="0" fontId="50" fillId="9" borderId="0" xfId="10" applyFill="1" applyBorder="1"/>
    <xf numFmtId="195" fontId="50" fillId="9" borderId="29" xfId="10" applyNumberFormat="1" applyFill="1" applyBorder="1"/>
    <xf numFmtId="0" fontId="5" fillId="9" borderId="29" xfId="10" applyFont="1" applyFill="1" applyBorder="1" applyAlignment="1">
      <alignment horizontal="center"/>
    </xf>
    <xf numFmtId="17" fontId="50" fillId="9" borderId="29" xfId="10" applyNumberFormat="1" applyFill="1" applyBorder="1" applyAlignment="1">
      <alignment horizontal="center"/>
    </xf>
    <xf numFmtId="167" fontId="21" fillId="9" borderId="29" xfId="10" applyNumberFormat="1" applyFont="1" applyFill="1" applyBorder="1"/>
    <xf numFmtId="168" fontId="5" fillId="0" borderId="0" xfId="0" applyNumberFormat="1" applyFont="1" applyFill="1" applyBorder="1"/>
    <xf numFmtId="167" fontId="24" fillId="9" borderId="0" xfId="2" applyNumberFormat="1" applyFont="1" applyFill="1" applyBorder="1"/>
    <xf numFmtId="194" fontId="24" fillId="9" borderId="0" xfId="2" applyNumberFormat="1" applyFont="1" applyFill="1" applyBorder="1"/>
    <xf numFmtId="194" fontId="21" fillId="6" borderId="0" xfId="0" applyNumberFormat="1" applyFont="1" applyFill="1" applyBorder="1" applyAlignment="1">
      <alignment horizontal="right"/>
    </xf>
    <xf numFmtId="194" fontId="21" fillId="9" borderId="0" xfId="0" applyNumberFormat="1" applyFont="1" applyFill="1" applyBorder="1" applyAlignment="1">
      <alignment horizontal="right"/>
    </xf>
    <xf numFmtId="194" fontId="21" fillId="9" borderId="29" xfId="0" applyNumberFormat="1" applyFont="1" applyFill="1" applyBorder="1" applyAlignment="1">
      <alignment horizontal="right"/>
    </xf>
    <xf numFmtId="194" fontId="5" fillId="9" borderId="0" xfId="0" applyNumberFormat="1" applyFont="1" applyFill="1" applyBorder="1"/>
    <xf numFmtId="194" fontId="25" fillId="9" borderId="0" xfId="0" applyNumberFormat="1" applyFont="1" applyFill="1" applyBorder="1" applyAlignment="1">
      <alignment horizontal="left" indent="1"/>
    </xf>
    <xf numFmtId="194" fontId="30" fillId="9" borderId="0" xfId="2" applyNumberFormat="1" applyFont="1" applyFill="1" applyBorder="1"/>
    <xf numFmtId="168" fontId="19" fillId="9" borderId="0" xfId="0" applyNumberFormat="1" applyFont="1" applyFill="1" applyBorder="1" applyAlignment="1">
      <alignment horizontal="left" indent="2"/>
    </xf>
    <xf numFmtId="168" fontId="30" fillId="9" borderId="2" xfId="2" applyNumberFormat="1" applyFont="1" applyFill="1" applyBorder="1"/>
    <xf numFmtId="168" fontId="25" fillId="6" borderId="2" xfId="0" applyNumberFormat="1" applyFont="1" applyFill="1" applyBorder="1" applyAlignment="1">
      <alignment horizontal="right"/>
    </xf>
    <xf numFmtId="168" fontId="25" fillId="9" borderId="2" xfId="0" applyNumberFormat="1" applyFont="1" applyFill="1" applyBorder="1" applyAlignment="1">
      <alignment horizontal="right"/>
    </xf>
    <xf numFmtId="168" fontId="19" fillId="6" borderId="2" xfId="0" applyNumberFormat="1" applyFont="1" applyFill="1" applyBorder="1" applyAlignment="1">
      <alignment horizontal="right"/>
    </xf>
    <xf numFmtId="168" fontId="19" fillId="9" borderId="2" xfId="0" applyNumberFormat="1" applyFont="1" applyFill="1" applyBorder="1" applyAlignment="1">
      <alignment horizontal="right"/>
    </xf>
    <xf numFmtId="168" fontId="25" fillId="9" borderId="30" xfId="0" applyNumberFormat="1" applyFont="1" applyFill="1" applyBorder="1" applyAlignment="1">
      <alignment horizontal="right"/>
    </xf>
    <xf numFmtId="168" fontId="19" fillId="9" borderId="2" xfId="0" applyNumberFormat="1" applyFont="1" applyFill="1" applyBorder="1" applyAlignment="1">
      <alignment horizontal="left" indent="2"/>
    </xf>
    <xf numFmtId="168" fontId="25" fillId="9" borderId="2" xfId="0" applyNumberFormat="1" applyFont="1" applyFill="1" applyBorder="1" applyAlignment="1">
      <alignment horizontal="left" indent="1"/>
    </xf>
    <xf numFmtId="0" fontId="0" fillId="0" borderId="0" xfId="0"/>
    <xf numFmtId="167" fontId="30" fillId="9" borderId="0" xfId="2" applyNumberFormat="1" applyFont="1" applyFill="1" applyBorder="1"/>
    <xf numFmtId="165" fontId="19" fillId="0" borderId="0" xfId="0" applyNumberFormat="1" applyFont="1" applyFill="1" applyBorder="1"/>
    <xf numFmtId="167" fontId="20" fillId="9" borderId="0" xfId="0" applyNumberFormat="1" applyFont="1" applyFill="1" applyAlignment="1">
      <alignment horizontal="left"/>
    </xf>
    <xf numFmtId="168" fontId="25" fillId="9" borderId="0" xfId="0" applyNumberFormat="1" applyFont="1" applyFill="1" applyAlignment="1">
      <alignment horizontal="left" indent="1"/>
    </xf>
    <xf numFmtId="168" fontId="20" fillId="9" borderId="0" xfId="0" applyNumberFormat="1" applyFont="1" applyFill="1" applyAlignment="1">
      <alignment horizontal="left"/>
    </xf>
    <xf numFmtId="168" fontId="25" fillId="9" borderId="0" xfId="0" applyNumberFormat="1" applyFont="1" applyFill="1"/>
    <xf numFmtId="168" fontId="30" fillId="9" borderId="2" xfId="0" applyNumberFormat="1" applyFont="1" applyFill="1" applyBorder="1" applyAlignment="1">
      <alignment horizontal="left" indent="2"/>
    </xf>
    <xf numFmtId="168" fontId="25" fillId="9" borderId="2" xfId="0" applyNumberFormat="1" applyFont="1" applyFill="1" applyBorder="1" applyAlignment="1">
      <alignment horizontal="left" indent="3"/>
    </xf>
    <xf numFmtId="168" fontId="25" fillId="6" borderId="2" xfId="0" applyNumberFormat="1" applyFont="1" applyFill="1" applyBorder="1"/>
    <xf numFmtId="168" fontId="25" fillId="9" borderId="2" xfId="0" applyNumberFormat="1" applyFont="1" applyFill="1" applyBorder="1"/>
    <xf numFmtId="168" fontId="30" fillId="9" borderId="2" xfId="0" applyNumberFormat="1" applyFont="1" applyFill="1" applyBorder="1"/>
    <xf numFmtId="168" fontId="25" fillId="9" borderId="30" xfId="0" applyNumberFormat="1" applyFont="1" applyFill="1" applyBorder="1"/>
    <xf numFmtId="167" fontId="20" fillId="9" borderId="0" xfId="0" applyNumberFormat="1" applyFont="1" applyFill="1" applyAlignment="1">
      <alignment horizontal="left" indent="1"/>
    </xf>
    <xf numFmtId="194" fontId="21" fillId="9" borderId="0" xfId="0" applyNumberFormat="1" applyFont="1" applyFill="1" applyBorder="1" applyAlignment="1">
      <alignment horizontal="left"/>
    </xf>
    <xf numFmtId="167" fontId="7" fillId="9" borderId="0" xfId="0" applyNumberFormat="1" applyFont="1" applyFill="1" applyBorder="1"/>
    <xf numFmtId="167" fontId="7" fillId="6" borderId="0" xfId="0" applyNumberFormat="1" applyFont="1" applyFill="1" applyBorder="1"/>
    <xf numFmtId="168" fontId="21" fillId="9" borderId="10" xfId="0" applyNumberFormat="1" applyFont="1" applyFill="1" applyBorder="1" applyAlignment="1">
      <alignment horizontal="left" indent="2"/>
    </xf>
    <xf numFmtId="168" fontId="24" fillId="9" borderId="10" xfId="2" applyNumberFormat="1" applyFont="1" applyFill="1" applyBorder="1"/>
    <xf numFmtId="168" fontId="21" fillId="6" borderId="10" xfId="0" applyNumberFormat="1" applyFont="1" applyFill="1" applyBorder="1" applyAlignment="1">
      <alignment horizontal="right"/>
    </xf>
    <xf numFmtId="168" fontId="21" fillId="9" borderId="10" xfId="0" applyNumberFormat="1" applyFont="1" applyFill="1" applyBorder="1" applyAlignment="1">
      <alignment horizontal="right"/>
    </xf>
    <xf numFmtId="168" fontId="21" fillId="9" borderId="36" xfId="0" applyNumberFormat="1" applyFont="1" applyFill="1" applyBorder="1" applyAlignment="1">
      <alignment horizontal="right"/>
    </xf>
    <xf numFmtId="168" fontId="20" fillId="9" borderId="0" xfId="10" applyNumberFormat="1" applyFont="1" applyFill="1" applyBorder="1" applyAlignment="1">
      <alignment horizontal="left" indent="3"/>
    </xf>
    <xf numFmtId="168" fontId="20" fillId="9" borderId="29" xfId="10" applyNumberFormat="1" applyFont="1" applyFill="1" applyBorder="1"/>
    <xf numFmtId="168" fontId="23" fillId="9" borderId="0" xfId="2" applyNumberFormat="1" applyFont="1" applyFill="1" applyBorder="1" applyAlignment="1">
      <alignment horizontal="left" indent="1"/>
    </xf>
    <xf numFmtId="168" fontId="23" fillId="9" borderId="0" xfId="2" applyNumberFormat="1" applyFont="1" applyFill="1" applyBorder="1" applyAlignment="1">
      <alignment horizontal="left" indent="2"/>
    </xf>
    <xf numFmtId="168" fontId="23" fillId="9" borderId="2" xfId="2" applyNumberFormat="1" applyFont="1" applyFill="1" applyBorder="1" applyAlignment="1">
      <alignment horizontal="left" indent="2"/>
    </xf>
    <xf numFmtId="168" fontId="20" fillId="9" borderId="2" xfId="10" applyNumberFormat="1" applyFont="1" applyFill="1" applyBorder="1" applyAlignment="1">
      <alignment horizontal="left" indent="3"/>
    </xf>
    <xf numFmtId="168" fontId="20" fillId="9" borderId="2" xfId="10" applyNumberFormat="1" applyFont="1" applyFill="1" applyBorder="1"/>
    <xf numFmtId="168" fontId="20" fillId="9" borderId="30" xfId="10" applyNumberFormat="1" applyFont="1" applyFill="1" applyBorder="1"/>
    <xf numFmtId="168" fontId="24" fillId="9" borderId="0" xfId="2" applyNumberFormat="1" applyFont="1" applyFill="1" applyBorder="1" applyAlignment="1">
      <alignment horizontal="left" indent="1"/>
    </xf>
    <xf numFmtId="168" fontId="21" fillId="9" borderId="0" xfId="10" applyNumberFormat="1" applyFont="1" applyFill="1" applyBorder="1" applyAlignment="1">
      <alignment horizontal="left" indent="3"/>
    </xf>
    <xf numFmtId="168" fontId="21" fillId="6" borderId="0" xfId="10" applyNumberFormat="1" applyFont="1" applyFill="1" applyBorder="1"/>
    <xf numFmtId="168" fontId="21" fillId="9" borderId="29" xfId="10" applyNumberFormat="1" applyFont="1" applyFill="1" applyBorder="1"/>
    <xf numFmtId="168" fontId="23" fillId="9" borderId="2" xfId="2" applyNumberFormat="1" applyFont="1" applyFill="1" applyBorder="1" applyAlignment="1">
      <alignment horizontal="left" indent="1"/>
    </xf>
    <xf numFmtId="165" fontId="28" fillId="9" borderId="0" xfId="2" applyNumberFormat="1" applyFont="1" applyFill="1" applyBorder="1"/>
    <xf numFmtId="165" fontId="40" fillId="9" borderId="0" xfId="0" applyNumberFormat="1" applyFont="1" applyFill="1" applyBorder="1"/>
    <xf numFmtId="165" fontId="23" fillId="9" borderId="0" xfId="2" applyNumberFormat="1" applyFont="1" applyFill="1" applyBorder="1"/>
    <xf numFmtId="167" fontId="23" fillId="9" borderId="2" xfId="2" applyNumberFormat="1" applyFont="1" applyFill="1" applyBorder="1"/>
    <xf numFmtId="167" fontId="20" fillId="6" borderId="2" xfId="0" applyNumberFormat="1" applyFont="1" applyFill="1" applyBorder="1" applyAlignment="1">
      <alignment horizontal="right"/>
    </xf>
    <xf numFmtId="167" fontId="20" fillId="9" borderId="2" xfId="0" applyNumberFormat="1" applyFont="1" applyFill="1" applyBorder="1" applyAlignment="1">
      <alignment horizontal="right"/>
    </xf>
    <xf numFmtId="165" fontId="23" fillId="9" borderId="0" xfId="0" applyNumberFormat="1" applyFont="1" applyFill="1" applyBorder="1" applyAlignment="1">
      <alignment horizontal="left"/>
    </xf>
    <xf numFmtId="168" fontId="36" fillId="6" borderId="0" xfId="0" applyNumberFormat="1" applyFont="1" applyFill="1" applyBorder="1"/>
    <xf numFmtId="168" fontId="49" fillId="6" borderId="0" xfId="0" applyNumberFormat="1" applyFont="1" applyFill="1" applyBorder="1"/>
    <xf numFmtId="168" fontId="5" fillId="9" borderId="0" xfId="0" applyNumberFormat="1" applyFont="1" applyFill="1" applyAlignment="1">
      <alignment horizontal="left"/>
    </xf>
    <xf numFmtId="168" fontId="20" fillId="9" borderId="0" xfId="0" applyNumberFormat="1" applyFont="1" applyFill="1" applyBorder="1" applyAlignment="1">
      <alignment horizontal="left" indent="2"/>
    </xf>
    <xf numFmtId="168" fontId="20" fillId="9" borderId="2" xfId="0" applyNumberFormat="1" applyFont="1" applyFill="1" applyBorder="1" applyAlignment="1">
      <alignment horizontal="left" indent="2"/>
    </xf>
    <xf numFmtId="186" fontId="25" fillId="9" borderId="0" xfId="1" applyNumberFormat="1" applyFont="1" applyFill="1" applyBorder="1" applyAlignment="1">
      <alignment horizontal="left" indent="1"/>
    </xf>
    <xf numFmtId="168" fontId="19" fillId="9" borderId="0" xfId="0" applyNumberFormat="1" applyFont="1" applyFill="1"/>
    <xf numFmtId="168" fontId="19" fillId="0" borderId="0" xfId="0" applyNumberFormat="1" applyFont="1"/>
    <xf numFmtId="167" fontId="20" fillId="6" borderId="0" xfId="0" applyNumberFormat="1" applyFont="1" applyFill="1" applyBorder="1"/>
    <xf numFmtId="167" fontId="23" fillId="9" borderId="0" xfId="2" applyNumberFormat="1" applyFont="1" applyFill="1" applyBorder="1"/>
    <xf numFmtId="168" fontId="19" fillId="9" borderId="0" xfId="0" applyNumberFormat="1" applyFont="1" applyFill="1" applyAlignment="1">
      <alignment horizontal="left" indent="2"/>
    </xf>
    <xf numFmtId="165" fontId="25" fillId="9" borderId="0" xfId="0" applyNumberFormat="1" applyFont="1" applyFill="1" applyBorder="1" applyAlignment="1">
      <alignment horizontal="left" indent="2"/>
    </xf>
    <xf numFmtId="165" fontId="27" fillId="9" borderId="0" xfId="0" applyNumberFormat="1" applyFont="1" applyFill="1" applyAlignment="1">
      <alignment horizontal="left"/>
    </xf>
    <xf numFmtId="168" fontId="28" fillId="9" borderId="0" xfId="2" applyNumberFormat="1" applyFont="1" applyFill="1"/>
    <xf numFmtId="168" fontId="27" fillId="6" borderId="0" xfId="0" applyNumberFormat="1" applyFont="1" applyFill="1" applyAlignment="1">
      <alignment horizontal="right"/>
    </xf>
    <xf numFmtId="168" fontId="27" fillId="9" borderId="0" xfId="0" applyNumberFormat="1" applyFont="1" applyFill="1" applyAlignment="1">
      <alignment horizontal="right"/>
    </xf>
    <xf numFmtId="168" fontId="40" fillId="9" borderId="0" xfId="0" applyNumberFormat="1" applyFont="1" applyFill="1"/>
    <xf numFmtId="170" fontId="25" fillId="9" borderId="0" xfId="0" applyNumberFormat="1" applyFont="1" applyFill="1" applyBorder="1" applyAlignment="1">
      <alignment horizontal="left" indent="2"/>
    </xf>
    <xf numFmtId="170" fontId="25" fillId="9" borderId="2" xfId="0" applyNumberFormat="1" applyFont="1" applyFill="1" applyBorder="1" applyAlignment="1">
      <alignment horizontal="left" indent="2"/>
    </xf>
    <xf numFmtId="165" fontId="19" fillId="9" borderId="0" xfId="0" applyNumberFormat="1" applyFont="1" applyFill="1" applyBorder="1" applyAlignment="1">
      <alignment horizontal="left" indent="2"/>
    </xf>
    <xf numFmtId="167" fontId="20" fillId="9" borderId="30" xfId="0" applyNumberFormat="1" applyFont="1" applyFill="1" applyBorder="1" applyAlignment="1">
      <alignment horizontal="right"/>
    </xf>
    <xf numFmtId="167" fontId="0" fillId="9" borderId="2" xfId="0" applyNumberFormat="1" applyFont="1" applyFill="1" applyBorder="1" applyAlignment="1">
      <alignment horizontal="right"/>
    </xf>
    <xf numFmtId="168" fontId="19" fillId="6" borderId="0" xfId="0" applyNumberFormat="1" applyFont="1" applyFill="1" applyBorder="1"/>
    <xf numFmtId="165" fontId="20" fillId="9" borderId="0" xfId="0" applyNumberFormat="1" applyFont="1" applyFill="1" applyBorder="1" applyAlignment="1">
      <alignment horizontal="right"/>
    </xf>
    <xf numFmtId="165" fontId="22" fillId="10" borderId="0" xfId="0" applyNumberFormat="1" applyFont="1" applyFill="1" applyBorder="1"/>
    <xf numFmtId="165" fontId="22" fillId="10" borderId="29" xfId="0" applyNumberFormat="1" applyFont="1" applyFill="1" applyBorder="1"/>
    <xf numFmtId="165" fontId="0" fillId="9" borderId="0" xfId="0" applyNumberFormat="1" applyFont="1" applyFill="1" applyBorder="1"/>
    <xf numFmtId="165" fontId="20" fillId="9" borderId="0" xfId="0" applyNumberFormat="1" applyFont="1" applyFill="1" applyBorder="1"/>
    <xf numFmtId="165" fontId="20" fillId="9" borderId="29" xfId="0" applyNumberFormat="1" applyFont="1" applyFill="1" applyBorder="1"/>
    <xf numFmtId="165" fontId="5" fillId="9" borderId="0" xfId="0" applyNumberFormat="1" applyFont="1" applyFill="1" applyBorder="1"/>
    <xf numFmtId="165" fontId="21" fillId="9" borderId="0" xfId="0" applyNumberFormat="1" applyFont="1" applyFill="1" applyBorder="1"/>
    <xf numFmtId="165" fontId="21" fillId="9" borderId="29" xfId="0" applyNumberFormat="1" applyFont="1" applyFill="1" applyBorder="1"/>
    <xf numFmtId="165" fontId="20" fillId="9" borderId="2" xfId="0" applyNumberFormat="1" applyFont="1" applyFill="1" applyBorder="1"/>
    <xf numFmtId="165" fontId="20" fillId="9" borderId="30" xfId="0" applyNumberFormat="1" applyFont="1" applyFill="1" applyBorder="1"/>
    <xf numFmtId="165" fontId="22" fillId="10" borderId="0" xfId="0" applyNumberFormat="1" applyFont="1" applyFill="1"/>
    <xf numFmtId="165" fontId="25" fillId="9" borderId="0" xfId="0" applyNumberFormat="1" applyFont="1" applyFill="1" applyBorder="1"/>
    <xf numFmtId="165" fontId="20" fillId="9" borderId="11" xfId="0" applyNumberFormat="1" applyFont="1" applyFill="1" applyBorder="1"/>
    <xf numFmtId="165" fontId="31" fillId="10" borderId="0" xfId="0" applyNumberFormat="1" applyFont="1" applyFill="1" applyBorder="1"/>
    <xf numFmtId="165" fontId="31" fillId="10" borderId="29" xfId="0" applyNumberFormat="1" applyFont="1" applyFill="1" applyBorder="1"/>
    <xf numFmtId="165" fontId="25" fillId="9" borderId="0" xfId="0" applyNumberFormat="1" applyFont="1" applyFill="1" applyBorder="1" applyAlignment="1">
      <alignment horizontal="left" indent="1"/>
    </xf>
    <xf numFmtId="165" fontId="30" fillId="9" borderId="0" xfId="2" applyNumberFormat="1" applyFont="1" applyFill="1" applyBorder="1"/>
    <xf numFmtId="165" fontId="30" fillId="9" borderId="0" xfId="0" applyNumberFormat="1" applyFont="1" applyFill="1" applyBorder="1" applyAlignment="1">
      <alignment horizontal="left" indent="1"/>
    </xf>
    <xf numFmtId="165" fontId="25" fillId="9" borderId="0" xfId="0" applyNumberFormat="1" applyFont="1" applyFill="1" applyBorder="1" applyAlignment="1">
      <alignment horizontal="left" indent="3"/>
    </xf>
    <xf numFmtId="165" fontId="19" fillId="9" borderId="0" xfId="0" applyNumberFormat="1" applyFont="1" applyFill="1" applyBorder="1" applyAlignment="1">
      <alignment horizontal="left" indent="1"/>
    </xf>
    <xf numFmtId="165" fontId="21" fillId="9" borderId="0" xfId="10" applyNumberFormat="1" applyFont="1" applyFill="1" applyBorder="1"/>
    <xf numFmtId="165" fontId="32" fillId="10" borderId="0" xfId="10" applyNumberFormat="1" applyFont="1" applyFill="1" applyBorder="1"/>
    <xf numFmtId="165" fontId="20" fillId="9" borderId="0" xfId="10" applyNumberFormat="1" applyFont="1" applyFill="1" applyBorder="1"/>
    <xf numFmtId="165" fontId="20" fillId="9" borderId="29" xfId="10" applyNumberFormat="1" applyFont="1" applyFill="1" applyBorder="1"/>
    <xf numFmtId="165" fontId="22" fillId="10" borderId="0" xfId="10" applyNumberFormat="1" applyFont="1" applyFill="1" applyBorder="1"/>
    <xf numFmtId="165" fontId="22" fillId="10" borderId="29" xfId="10" applyNumberFormat="1" applyFont="1" applyFill="1" applyBorder="1"/>
    <xf numFmtId="165" fontId="22" fillId="10" borderId="0" xfId="10" applyNumberFormat="1" applyFont="1" applyFill="1"/>
    <xf numFmtId="167" fontId="0" fillId="9" borderId="30" xfId="0" applyNumberFormat="1" applyFont="1" applyFill="1" applyBorder="1" applyAlignment="1">
      <alignment horizontal="right"/>
    </xf>
    <xf numFmtId="173" fontId="0" fillId="9" borderId="29" xfId="0" applyNumberFormat="1" applyFont="1" applyFill="1" applyBorder="1"/>
    <xf numFmtId="165" fontId="21" fillId="6" borderId="0" xfId="0" applyNumberFormat="1" applyFont="1" applyFill="1" applyBorder="1" applyAlignment="1">
      <alignment horizontal="right"/>
    </xf>
    <xf numFmtId="165" fontId="21" fillId="9" borderId="0" xfId="0" applyNumberFormat="1" applyFont="1" applyFill="1" applyBorder="1" applyAlignment="1">
      <alignment horizontal="right"/>
    </xf>
    <xf numFmtId="165" fontId="21" fillId="9" borderId="29" xfId="0" applyNumberFormat="1" applyFont="1" applyFill="1" applyBorder="1" applyAlignment="1">
      <alignment horizontal="right"/>
    </xf>
    <xf numFmtId="165" fontId="25" fillId="6" borderId="0" xfId="0" applyNumberFormat="1" applyFont="1" applyFill="1" applyBorder="1" applyAlignment="1">
      <alignment horizontal="right"/>
    </xf>
    <xf numFmtId="165" fontId="25" fillId="9" borderId="0" xfId="0" applyNumberFormat="1" applyFont="1" applyFill="1" applyBorder="1" applyAlignment="1">
      <alignment horizontal="right"/>
    </xf>
    <xf numFmtId="165" fontId="25" fillId="9" borderId="29" xfId="0" applyNumberFormat="1" applyFont="1" applyFill="1" applyBorder="1" applyAlignment="1">
      <alignment horizontal="right"/>
    </xf>
    <xf numFmtId="165" fontId="20" fillId="6" borderId="0" xfId="0" applyNumberFormat="1" applyFont="1" applyFill="1" applyBorder="1" applyAlignment="1">
      <alignment horizontal="right"/>
    </xf>
    <xf numFmtId="165" fontId="20" fillId="9" borderId="0" xfId="0" applyNumberFormat="1" applyFont="1" applyFill="1" applyBorder="1" applyAlignment="1">
      <alignment horizontal="right"/>
    </xf>
    <xf numFmtId="165" fontId="0" fillId="9" borderId="0" xfId="0" applyNumberFormat="1" applyFont="1" applyFill="1" applyBorder="1" applyAlignment="1">
      <alignment horizontal="right"/>
    </xf>
    <xf numFmtId="165" fontId="0" fillId="9" borderId="29" xfId="0" applyNumberFormat="1" applyFont="1" applyFill="1" applyBorder="1" applyAlignment="1">
      <alignment horizontal="right"/>
    </xf>
    <xf numFmtId="165" fontId="27" fillId="6" borderId="0" xfId="0" applyNumberFormat="1" applyFont="1" applyFill="1" applyBorder="1" applyAlignment="1">
      <alignment horizontal="right"/>
    </xf>
    <xf numFmtId="165" fontId="27" fillId="9" borderId="0" xfId="0" applyNumberFormat="1" applyFont="1" applyFill="1" applyBorder="1" applyAlignment="1">
      <alignment horizontal="right"/>
    </xf>
    <xf numFmtId="165" fontId="27" fillId="9" borderId="29" xfId="0" applyNumberFormat="1" applyFont="1" applyFill="1" applyBorder="1" applyAlignment="1">
      <alignment horizontal="right"/>
    </xf>
    <xf numFmtId="165" fontId="22" fillId="10" borderId="0" xfId="0" applyNumberFormat="1" applyFont="1" applyFill="1" applyBorder="1"/>
    <xf numFmtId="165" fontId="22" fillId="10" borderId="29" xfId="0" applyNumberFormat="1" applyFont="1" applyFill="1" applyBorder="1"/>
    <xf numFmtId="165" fontId="20" fillId="9" borderId="29" xfId="0" applyNumberFormat="1" applyFont="1" applyFill="1" applyBorder="1" applyAlignment="1">
      <alignment horizontal="right"/>
    </xf>
    <xf numFmtId="165" fontId="20" fillId="6" borderId="0" xfId="0" applyNumberFormat="1" applyFont="1" applyFill="1" applyBorder="1"/>
    <xf numFmtId="165" fontId="0" fillId="6" borderId="0" xfId="0" applyNumberFormat="1" applyFont="1" applyFill="1" applyBorder="1"/>
    <xf numFmtId="165" fontId="0" fillId="9" borderId="0" xfId="0" applyNumberFormat="1" applyFont="1" applyFill="1" applyBorder="1"/>
    <xf numFmtId="165" fontId="20" fillId="9" borderId="0" xfId="0" applyNumberFormat="1" applyFont="1" applyFill="1" applyBorder="1"/>
    <xf numFmtId="165" fontId="20" fillId="9" borderId="29" xfId="0" applyNumberFormat="1" applyFont="1" applyFill="1" applyBorder="1"/>
    <xf numFmtId="165" fontId="21" fillId="6" borderId="7" xfId="0" applyNumberFormat="1" applyFont="1" applyFill="1" applyBorder="1"/>
    <xf numFmtId="165" fontId="21" fillId="9" borderId="7" xfId="0" applyNumberFormat="1" applyFont="1" applyFill="1" applyBorder="1"/>
    <xf numFmtId="165" fontId="5" fillId="9" borderId="7" xfId="0" applyNumberFormat="1" applyFont="1" applyFill="1" applyBorder="1"/>
    <xf numFmtId="165" fontId="5" fillId="6" borderId="7" xfId="0" applyNumberFormat="1" applyFont="1" applyFill="1" applyBorder="1"/>
    <xf numFmtId="165" fontId="5" fillId="9" borderId="31" xfId="0" applyNumberFormat="1" applyFont="1" applyFill="1" applyBorder="1"/>
    <xf numFmtId="165" fontId="21" fillId="6" borderId="0" xfId="0" applyNumberFormat="1" applyFont="1" applyFill="1" applyBorder="1"/>
    <xf numFmtId="165" fontId="5" fillId="6" borderId="0" xfId="0" applyNumberFormat="1" applyFont="1" applyFill="1" applyBorder="1"/>
    <xf numFmtId="165" fontId="5" fillId="9" borderId="0" xfId="0" applyNumberFormat="1" applyFont="1" applyFill="1" applyBorder="1"/>
    <xf numFmtId="165" fontId="5" fillId="9" borderId="29" xfId="0" applyNumberFormat="1" applyFont="1" applyFill="1" applyBorder="1"/>
    <xf numFmtId="165" fontId="0" fillId="9" borderId="29" xfId="0" applyNumberFormat="1" applyFont="1" applyFill="1" applyBorder="1"/>
    <xf numFmtId="165" fontId="21" fillId="9" borderId="0" xfId="0" applyNumberFormat="1" applyFont="1" applyFill="1" applyBorder="1"/>
    <xf numFmtId="165" fontId="21" fillId="9" borderId="29" xfId="0" applyNumberFormat="1" applyFont="1" applyFill="1" applyBorder="1"/>
    <xf numFmtId="165" fontId="20" fillId="6" borderId="2" xfId="0" applyNumberFormat="1" applyFont="1" applyFill="1" applyBorder="1"/>
    <xf numFmtId="165" fontId="20" fillId="9" borderId="2" xfId="0" applyNumberFormat="1" applyFont="1" applyFill="1" applyBorder="1"/>
    <xf numFmtId="165" fontId="20" fillId="9" borderId="30" xfId="0" applyNumberFormat="1" applyFont="1" applyFill="1" applyBorder="1"/>
    <xf numFmtId="165" fontId="48" fillId="10" borderId="0" xfId="0" applyNumberFormat="1" applyFont="1" applyFill="1" applyBorder="1"/>
    <xf numFmtId="165" fontId="0" fillId="9" borderId="2" xfId="0" applyNumberFormat="1" applyFont="1" applyFill="1" applyBorder="1"/>
    <xf numFmtId="165" fontId="0" fillId="6" borderId="2" xfId="0" applyNumberFormat="1" applyFont="1" applyFill="1" applyBorder="1"/>
    <xf numFmtId="165" fontId="21" fillId="9" borderId="31" xfId="0" applyNumberFormat="1" applyFont="1" applyFill="1" applyBorder="1"/>
    <xf numFmtId="165" fontId="32" fillId="10" borderId="0" xfId="0" applyNumberFormat="1" applyFont="1" applyFill="1" applyBorder="1"/>
    <xf numFmtId="165" fontId="32" fillId="10" borderId="29" xfId="0" applyNumberFormat="1" applyFont="1" applyFill="1" applyBorder="1"/>
    <xf numFmtId="165" fontId="22" fillId="10" borderId="0" xfId="0" applyNumberFormat="1" applyFont="1" applyFill="1"/>
    <xf numFmtId="165" fontId="0" fillId="9" borderId="30" xfId="0" applyNumberFormat="1" applyFont="1" applyFill="1" applyBorder="1"/>
    <xf numFmtId="165" fontId="5" fillId="6" borderId="10" xfId="0" applyNumberFormat="1" applyFont="1" applyFill="1" applyBorder="1"/>
    <xf numFmtId="165" fontId="5" fillId="9" borderId="10" xfId="0" applyNumberFormat="1" applyFont="1" applyFill="1" applyBorder="1"/>
    <xf numFmtId="165" fontId="21" fillId="9" borderId="10" xfId="0" applyNumberFormat="1" applyFont="1" applyFill="1" applyBorder="1"/>
    <xf numFmtId="165" fontId="21" fillId="6" borderId="10" xfId="0" applyNumberFormat="1" applyFont="1" applyFill="1" applyBorder="1"/>
    <xf numFmtId="165" fontId="5" fillId="9" borderId="36" xfId="0" applyNumberFormat="1" applyFont="1" applyFill="1" applyBorder="1"/>
    <xf numFmtId="165" fontId="20" fillId="6" borderId="7" xfId="0" applyNumberFormat="1" applyFont="1" applyFill="1" applyBorder="1"/>
    <xf numFmtId="165" fontId="20" fillId="9" borderId="7" xfId="0" applyNumberFormat="1" applyFont="1" applyFill="1" applyBorder="1"/>
    <xf numFmtId="165" fontId="20" fillId="9" borderId="31" xfId="0" applyNumberFormat="1" applyFont="1" applyFill="1" applyBorder="1"/>
    <xf numFmtId="165" fontId="25" fillId="6" borderId="0" xfId="0" applyNumberFormat="1" applyFont="1" applyFill="1" applyBorder="1"/>
    <xf numFmtId="165" fontId="25" fillId="9" borderId="0" xfId="0" applyNumberFormat="1" applyFont="1" applyFill="1" applyBorder="1"/>
    <xf numFmtId="165" fontId="30" fillId="9" borderId="0" xfId="0" applyNumberFormat="1" applyFont="1" applyFill="1" applyBorder="1"/>
    <xf numFmtId="165" fontId="25" fillId="9" borderId="29" xfId="0" applyNumberFormat="1" applyFont="1" applyFill="1" applyBorder="1"/>
    <xf numFmtId="165" fontId="25" fillId="6" borderId="0" xfId="0" applyNumberFormat="1" applyFont="1" applyFill="1" applyBorder="1" applyAlignment="1">
      <alignment horizontal="center"/>
    </xf>
    <xf numFmtId="165" fontId="7" fillId="9" borderId="0" xfId="0" applyNumberFormat="1" applyFont="1" applyFill="1" applyBorder="1"/>
    <xf numFmtId="165" fontId="7" fillId="6" borderId="0" xfId="0" applyNumberFormat="1" applyFont="1" applyFill="1" applyBorder="1"/>
    <xf numFmtId="165" fontId="20" fillId="6" borderId="10" xfId="0" applyNumberFormat="1" applyFont="1" applyFill="1" applyBorder="1"/>
    <xf numFmtId="165" fontId="20" fillId="9" borderId="10" xfId="0" applyNumberFormat="1" applyFont="1" applyFill="1" applyBorder="1"/>
    <xf numFmtId="165" fontId="20" fillId="9" borderId="36" xfId="0" applyNumberFormat="1" applyFont="1" applyFill="1" applyBorder="1"/>
    <xf numFmtId="165" fontId="0" fillId="6" borderId="7" xfId="0" applyNumberFormat="1" applyFont="1" applyFill="1" applyBorder="1"/>
    <xf numFmtId="165" fontId="0" fillId="9" borderId="7" xfId="0" applyNumberFormat="1" applyFont="1" applyFill="1" applyBorder="1"/>
    <xf numFmtId="165" fontId="0" fillId="9" borderId="31" xfId="0" applyNumberFormat="1" applyFont="1" applyFill="1" applyBorder="1"/>
    <xf numFmtId="165" fontId="25" fillId="6" borderId="7" xfId="0" applyNumberFormat="1" applyFont="1" applyFill="1" applyBorder="1"/>
    <xf numFmtId="165" fontId="25" fillId="9" borderId="7" xfId="0" applyNumberFormat="1" applyFont="1" applyFill="1" applyBorder="1"/>
    <xf numFmtId="165" fontId="25" fillId="9" borderId="31" xfId="0" applyNumberFormat="1" applyFont="1" applyFill="1" applyBorder="1"/>
    <xf numFmtId="165" fontId="12" fillId="9" borderId="0" xfId="0" applyNumberFormat="1" applyFont="1" applyFill="1" applyBorder="1"/>
    <xf numFmtId="165" fontId="12" fillId="6" borderId="0" xfId="0" applyNumberFormat="1" applyFont="1" applyFill="1" applyBorder="1"/>
    <xf numFmtId="165" fontId="0" fillId="6" borderId="11" xfId="0" applyNumberFormat="1" applyFont="1" applyFill="1" applyBorder="1"/>
    <xf numFmtId="165" fontId="0" fillId="9" borderId="11" xfId="0" applyNumberFormat="1" applyFont="1" applyFill="1" applyBorder="1"/>
    <xf numFmtId="165" fontId="20" fillId="9" borderId="11" xfId="0" applyNumberFormat="1" applyFont="1" applyFill="1" applyBorder="1"/>
    <xf numFmtId="165" fontId="20" fillId="6" borderId="11" xfId="0" applyNumberFormat="1" applyFont="1" applyFill="1" applyBorder="1"/>
    <xf numFmtId="165" fontId="0" fillId="9" borderId="32" xfId="0" applyNumberFormat="1" applyFont="1" applyFill="1" applyBorder="1"/>
    <xf numFmtId="165" fontId="0" fillId="6" borderId="0" xfId="0" applyNumberFormat="1" applyFont="1" applyFill="1" applyBorder="1" applyAlignment="1">
      <alignment horizontal="right"/>
    </xf>
    <xf numFmtId="165" fontId="22" fillId="10" borderId="0" xfId="0" applyNumberFormat="1" applyFont="1" applyFill="1" applyBorder="1" applyAlignment="1">
      <alignment horizontal="right"/>
    </xf>
    <xf numFmtId="165" fontId="22" fillId="10" borderId="29" xfId="0" applyNumberFormat="1" applyFont="1" applyFill="1" applyBorder="1" applyAlignment="1">
      <alignment horizontal="right"/>
    </xf>
    <xf numFmtId="165" fontId="5" fillId="6" borderId="0" xfId="0" applyNumberFormat="1" applyFont="1" applyFill="1" applyBorder="1" applyAlignment="1">
      <alignment horizontal="right"/>
    </xf>
    <xf numFmtId="165" fontId="5" fillId="9" borderId="0" xfId="0" applyNumberFormat="1" applyFont="1" applyFill="1" applyBorder="1" applyAlignment="1">
      <alignment horizontal="right"/>
    </xf>
    <xf numFmtId="165" fontId="5" fillId="9" borderId="29" xfId="0" applyNumberFormat="1" applyFont="1" applyFill="1" applyBorder="1" applyAlignment="1">
      <alignment horizontal="right"/>
    </xf>
    <xf numFmtId="165" fontId="5" fillId="6" borderId="19" xfId="0" applyNumberFormat="1" applyFont="1" applyFill="1" applyBorder="1" applyAlignment="1">
      <alignment horizontal="right"/>
    </xf>
    <xf numFmtId="165" fontId="5" fillId="9" borderId="19" xfId="0" applyNumberFormat="1" applyFont="1" applyFill="1" applyBorder="1" applyAlignment="1">
      <alignment horizontal="right"/>
    </xf>
    <xf numFmtId="165" fontId="5" fillId="9" borderId="34" xfId="0" applyNumberFormat="1" applyFont="1" applyFill="1" applyBorder="1" applyAlignment="1">
      <alignment horizontal="right"/>
    </xf>
    <xf numFmtId="165" fontId="21" fillId="9" borderId="19" xfId="0" applyNumberFormat="1" applyFont="1" applyFill="1" applyBorder="1" applyAlignment="1">
      <alignment horizontal="right"/>
    </xf>
    <xf numFmtId="165" fontId="21" fillId="6" borderId="19" xfId="0" applyNumberFormat="1" applyFont="1" applyFill="1" applyBorder="1" applyAlignment="1">
      <alignment horizontal="right"/>
    </xf>
    <xf numFmtId="165" fontId="7" fillId="9" borderId="0" xfId="0" applyNumberFormat="1" applyFont="1" applyFill="1" applyBorder="1" applyAlignment="1">
      <alignment horizontal="right"/>
    </xf>
    <xf numFmtId="165" fontId="7" fillId="6" borderId="0" xfId="0" applyNumberFormat="1" applyFont="1" applyFill="1" applyBorder="1" applyAlignment="1">
      <alignment horizontal="right"/>
    </xf>
    <xf numFmtId="165" fontId="0" fillId="9" borderId="7" xfId="0" applyNumberFormat="1" applyFill="1" applyBorder="1"/>
    <xf numFmtId="165" fontId="0" fillId="6" borderId="10" xfId="0" applyNumberFormat="1" applyFont="1" applyFill="1" applyBorder="1"/>
    <xf numFmtId="165" fontId="0" fillId="9" borderId="10" xfId="0" applyNumberFormat="1" applyFont="1" applyFill="1" applyBorder="1"/>
    <xf numFmtId="165" fontId="0" fillId="9" borderId="36" xfId="0" applyNumberFormat="1" applyFont="1" applyFill="1" applyBorder="1"/>
    <xf numFmtId="165" fontId="31" fillId="10" borderId="0" xfId="0" applyNumberFormat="1" applyFont="1" applyFill="1" applyBorder="1"/>
    <xf numFmtId="165" fontId="31" fillId="10" borderId="29" xfId="0" applyNumberFormat="1" applyFont="1" applyFill="1" applyBorder="1"/>
    <xf numFmtId="165" fontId="23" fillId="2" borderId="0" xfId="5" applyNumberFormat="1" applyFont="1" applyFill="1" applyBorder="1" applyAlignment="1">
      <alignment horizontal="right"/>
    </xf>
    <xf numFmtId="165" fontId="23" fillId="2" borderId="29" xfId="5" applyNumberFormat="1" applyFont="1" applyFill="1" applyBorder="1" applyAlignment="1">
      <alignment horizontal="right"/>
    </xf>
    <xf numFmtId="165" fontId="21" fillId="9" borderId="8" xfId="0" applyNumberFormat="1" applyFont="1" applyFill="1" applyBorder="1"/>
    <xf numFmtId="165" fontId="21" fillId="9" borderId="6" xfId="0" applyNumberFormat="1" applyFont="1" applyFill="1" applyBorder="1"/>
    <xf numFmtId="165" fontId="21" fillId="9" borderId="5" xfId="0" applyNumberFormat="1" applyFont="1" applyFill="1" applyBorder="1"/>
    <xf numFmtId="165" fontId="21" fillId="9" borderId="4" xfId="0" applyNumberFormat="1" applyFont="1" applyFill="1" applyBorder="1"/>
    <xf numFmtId="165" fontId="25" fillId="9" borderId="0" xfId="0" applyNumberFormat="1" applyFont="1" applyFill="1" applyBorder="1" applyAlignment="1">
      <alignment horizontal="left" indent="1"/>
    </xf>
    <xf numFmtId="165" fontId="30" fillId="9" borderId="0" xfId="2" applyNumberFormat="1" applyFont="1" applyFill="1" applyBorder="1"/>
    <xf numFmtId="165" fontId="30" fillId="9" borderId="0" xfId="0" applyNumberFormat="1" applyFont="1" applyFill="1" applyBorder="1" applyAlignment="1">
      <alignment horizontal="left" indent="1"/>
    </xf>
    <xf numFmtId="165" fontId="25" fillId="9" borderId="0" xfId="0" applyNumberFormat="1" applyFont="1" applyFill="1" applyBorder="1" applyAlignment="1">
      <alignment horizontal="left" indent="3"/>
    </xf>
    <xf numFmtId="165" fontId="19" fillId="9" borderId="0" xfId="0" applyNumberFormat="1" applyFont="1" applyFill="1" applyBorder="1" applyAlignment="1">
      <alignment horizontal="left" indent="1"/>
    </xf>
    <xf numFmtId="165" fontId="20" fillId="6" borderId="2" xfId="10" applyNumberFormat="1" applyFont="1" applyFill="1" applyBorder="1"/>
    <xf numFmtId="165" fontId="20" fillId="9" borderId="2" xfId="10" applyNumberFormat="1" applyFont="1" applyFill="1" applyBorder="1"/>
    <xf numFmtId="165" fontId="20" fillId="9" borderId="30" xfId="10" applyNumberFormat="1" applyFont="1" applyFill="1" applyBorder="1"/>
    <xf numFmtId="165" fontId="21" fillId="6" borderId="0" xfId="10" applyNumberFormat="1" applyFont="1" applyFill="1" applyBorder="1"/>
    <xf numFmtId="165" fontId="21" fillId="9" borderId="0" xfId="10" applyNumberFormat="1" applyFont="1" applyFill="1" applyBorder="1"/>
    <xf numFmtId="165" fontId="21" fillId="9" borderId="29" xfId="10" applyNumberFormat="1" applyFont="1" applyFill="1" applyBorder="1"/>
    <xf numFmtId="165" fontId="32" fillId="10" borderId="0" xfId="10" applyNumberFormat="1" applyFont="1" applyFill="1" applyBorder="1"/>
    <xf numFmtId="165" fontId="32" fillId="10" borderId="29" xfId="10" applyNumberFormat="1" applyFont="1" applyFill="1" applyBorder="1"/>
    <xf numFmtId="165" fontId="20" fillId="6" borderId="0" xfId="10" applyNumberFormat="1" applyFont="1" applyFill="1" applyBorder="1"/>
    <xf numFmtId="165" fontId="20" fillId="9" borderId="0" xfId="10" applyNumberFormat="1" applyFont="1" applyFill="1" applyBorder="1"/>
    <xf numFmtId="165" fontId="20" fillId="9" borderId="29" xfId="10" applyNumberFormat="1" applyFont="1" applyFill="1" applyBorder="1"/>
    <xf numFmtId="165" fontId="21" fillId="6" borderId="7" xfId="10" applyNumberFormat="1" applyFont="1" applyFill="1" applyBorder="1"/>
    <xf numFmtId="165" fontId="21" fillId="9" borderId="7" xfId="10" applyNumberFormat="1" applyFont="1" applyFill="1" applyBorder="1"/>
    <xf numFmtId="165" fontId="21" fillId="9" borderId="31" xfId="10" applyNumberFormat="1" applyFont="1" applyFill="1" applyBorder="1"/>
    <xf numFmtId="165" fontId="22" fillId="10" borderId="0" xfId="10" applyNumberFormat="1" applyFont="1" applyFill="1" applyBorder="1"/>
    <xf numFmtId="165" fontId="22" fillId="10" borderId="29" xfId="10" applyNumberFormat="1" applyFont="1" applyFill="1" applyBorder="1"/>
    <xf numFmtId="165" fontId="22" fillId="10" borderId="0" xfId="10" applyNumberFormat="1" applyFont="1" applyFill="1"/>
  </cellXfs>
  <cellStyles count="17">
    <cellStyle name="Currency" xfId="2" builtinId="4"/>
    <cellStyle name="Currency 2" xfId="3" xr:uid="{00000000-0005-0000-0000-000006000000}"/>
    <cellStyle name="Currency 2 2" xfId="4" xr:uid="{00000000-0005-0000-0000-000007000000}"/>
    <cellStyle name="Currency 2 3" xfId="12" xr:uid="{00000000-0005-0000-0000-00000F000000}"/>
    <cellStyle name="Currency 3" xfId="16" xr:uid="{00000000-0005-0000-0000-000013000000}"/>
    <cellStyle name="Good" xfId="5" builtinId="26"/>
    <cellStyle name="Hyperlink" xfId="6" builtinId="8"/>
    <cellStyle name="Hyperlink 2" xfId="7" xr:uid="{00000000-0005-0000-0000-00000A000000}"/>
    <cellStyle name="Normal" xfId="0" builtinId="0"/>
    <cellStyle name="Normal 2" xfId="8" xr:uid="{00000000-0005-0000-0000-00000B000000}"/>
    <cellStyle name="Normal 2 2" xfId="13" xr:uid="{00000000-0005-0000-0000-000010000000}"/>
    <cellStyle name="Normal 3" xfId="9" xr:uid="{00000000-0005-0000-0000-00000C000000}"/>
    <cellStyle name="Normal 3 2" xfId="14" xr:uid="{00000000-0005-0000-0000-000011000000}"/>
    <cellStyle name="Normal 4" xfId="10" xr:uid="{00000000-0005-0000-0000-00000D000000}"/>
    <cellStyle name="Percent" xfId="1" builtinId="5"/>
    <cellStyle name="Percent 2" xfId="11" xr:uid="{00000000-0005-0000-0000-00000E000000}"/>
    <cellStyle name="Percent 2 2" xfId="15" xr:uid="{00000000-0005-0000-0000-000012000000}"/>
  </cellStyles>
  <dxfs count="11">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ont>
        <color rgb="FFF2F2F2"/>
      </font>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152400</xdr:rowOff>
    </xdr:from>
    <xdr:ext cx="2352675" cy="904875"/>
    <xdr:pic>
      <xdr:nvPicPr>
        <xdr:cNvPr id="6" name="Picture 5">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stretch>
          <a:fillRect/>
        </a:stretch>
      </xdr:blipFill>
      <xdr:spPr bwMode="auto">
        <a:xfrm>
          <a:off x="571500" y="533400"/>
          <a:ext cx="2352675" cy="904875"/>
        </a:xfrm>
        <a:prstGeom prst="rect">
          <a:avLst/>
        </a:prstGeom>
        <a:noFill/>
        <a:ln>
          <a:noFill/>
        </a:ln>
      </xdr:spPr>
    </xdr:pic>
    <xdr:clientData/>
  </xdr:oneCellAnchor>
  <xdr:oneCellAnchor>
    <xdr:from>
      <xdr:col>16</xdr:col>
      <xdr:colOff>304800</xdr:colOff>
      <xdr:row>40</xdr:row>
      <xdr:rowOff>38100</xdr:rowOff>
    </xdr:from>
    <xdr:ext cx="333375" cy="371475"/>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stretch>
          <a:fillRect/>
        </a:stretch>
      </xdr:blipFill>
      <xdr:spPr>
        <a:xfrm>
          <a:off x="13839825" y="8534400"/>
          <a:ext cx="333375" cy="3714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304800</xdr:colOff>
      <xdr:row>2</xdr:row>
      <xdr:rowOff>85725</xdr:rowOff>
    </xdr:from>
    <xdr:ext cx="2390775" cy="914400"/>
    <xdr:pic>
      <xdr:nvPicPr>
        <xdr:cNvPr id="6" name="Picture 5">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stretch>
          <a:fillRect/>
        </a:stretch>
      </xdr:blipFill>
      <xdr:spPr bwMode="auto">
        <a:xfrm>
          <a:off x="600075" y="466725"/>
          <a:ext cx="2390775" cy="914400"/>
        </a:xfrm>
        <a:prstGeom prst="rect">
          <a:avLst/>
        </a:prstGeom>
        <a:noFill/>
        <a:ln>
          <a:noFill/>
        </a:ln>
      </xdr:spPr>
    </xdr:pic>
    <xdr:clientData/>
  </xdr:oneCellAnchor>
  <xdr:oneCellAnchor>
    <xdr:from>
      <xdr:col>8</xdr:col>
      <xdr:colOff>228600</xdr:colOff>
      <xdr:row>39</xdr:row>
      <xdr:rowOff>38100</xdr:rowOff>
    </xdr:from>
    <xdr:ext cx="342900" cy="381000"/>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a:stretch>
          <a:fillRect/>
        </a:stretch>
      </xdr:blipFill>
      <xdr:spPr>
        <a:xfrm>
          <a:off x="11668125" y="7515225"/>
          <a:ext cx="342900" cy="3810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upport@canalyst.com?subject=Canalyst%20Support:%20Netflix,%20Inc.%20NFLX%20US&amp;body=Model%20Version:%20Q2-2019.20" TargetMode="External"/><Relationship Id="rId1" Type="http://schemas.openxmlformats.org/officeDocument/2006/relationships/hyperlink" Target="mailto:support@canalyst.com?subject=Canalyst%20Support:%20Netflix,%20Inc.%20NFLX%20US&amp;body=Model%20Version:%20Q1-2019.20"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ir.netflix.com/index.cf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17" Type="http://schemas.openxmlformats.org/officeDocument/2006/relationships/hyperlink" Target="https://s22.q4cdn.com/959853165/files/doc_financials/2019/q4/FINAL-Q4-19-Shareholder-Letter.pdf" TargetMode="External"/><Relationship Id="rId21" Type="http://schemas.openxmlformats.org/officeDocument/2006/relationships/hyperlink" Target="https://s22.q4cdn.com/959853165/files/doc_financials/quarterly_reports/2018/q4/FINAL-Q418-Shareholder-Letter.pdf" TargetMode="External"/><Relationship Id="rId42" Type="http://schemas.openxmlformats.org/officeDocument/2006/relationships/hyperlink" Target="https://s22.q4cdn.com/959853165/files/doc_financials/quarterly_reports/2018/q2/FINAL-Q2-18-Shareholder-Letter.pdf" TargetMode="External"/><Relationship Id="rId63" Type="http://schemas.openxmlformats.org/officeDocument/2006/relationships/hyperlink" Target="https://s22.q4cdn.com/959853165/files/doc_financials/quarterly_reports/2018/q2/FINAL-Q2-18-Shareholder-Letter.pdf" TargetMode="External"/><Relationship Id="rId84" Type="http://schemas.openxmlformats.org/officeDocument/2006/relationships/hyperlink" Target="https://s22.q4cdn.com/959853165/files/doc_financials/quarterly_reports/2019/q2/Q2-19-Shareholder-Letter-FINAL.pdf" TargetMode="External"/><Relationship Id="rId138" Type="http://schemas.openxmlformats.org/officeDocument/2006/relationships/hyperlink" Target="https://s22.q4cdn.com/959853165/files/doc_financials/2020/q2/FINAL-Q2-20-Shareholder-Letter-V3-with-Tables.pdf" TargetMode="External"/><Relationship Id="rId159" Type="http://schemas.openxmlformats.org/officeDocument/2006/relationships/hyperlink" Target="https://s22.q4cdn.com/959853165/files/doc_financials/2020/q4/FINAL-Q420-Shareholder-Letter.pdf" TargetMode="External"/><Relationship Id="rId107" Type="http://schemas.openxmlformats.org/officeDocument/2006/relationships/hyperlink" Target="https://s22.q4cdn.com/959853165/files/doc_financials/quarterly_reports/2019/q3/FINAL-Q3-19-Shareholder-Letter.pdf" TargetMode="External"/><Relationship Id="rId11" Type="http://schemas.openxmlformats.org/officeDocument/2006/relationships/hyperlink" Target="https://s22.q4cdn.com/959853165/files/doc_financials/quarterly_reports/2019/q1/FINAL-Q119-Shareholder-Letter.pdf" TargetMode="External"/><Relationship Id="rId32" Type="http://schemas.openxmlformats.org/officeDocument/2006/relationships/hyperlink" Target="https://s22.q4cdn.com/959853165/files/doc_financials/quarterly_reports/2018/q4/FINAL-Q418-Shareholder-Letter.pdf" TargetMode="External"/><Relationship Id="rId53" Type="http://schemas.openxmlformats.org/officeDocument/2006/relationships/hyperlink" Target="https://s22.q4cdn.com/959853165/files/doc_financials/quarterly_reports/2018/q2/FINAL-Q2-18-Shareholder-Letter.pdf" TargetMode="External"/><Relationship Id="rId74" Type="http://schemas.openxmlformats.org/officeDocument/2006/relationships/hyperlink" Target="https://ir.netflix.com/static-files/419958ac-5fd7-4bcd-9fb1-ebca445a9016" TargetMode="External"/><Relationship Id="rId128" Type="http://schemas.openxmlformats.org/officeDocument/2006/relationships/hyperlink" Target="https://s22.q4cdn.com/959853165/files/doc_financials/2020/q1/FINAL-Q1-20-Shareholder-Letter.pdf" TargetMode="External"/><Relationship Id="rId149" Type="http://schemas.openxmlformats.org/officeDocument/2006/relationships/hyperlink" Target="https://s22.q4cdn.com/959853165/files/doc_financials/2020/q3/FINAL-Q3-20-Shareholder-Letter.pdf" TargetMode="External"/><Relationship Id="rId5" Type="http://schemas.openxmlformats.org/officeDocument/2006/relationships/hyperlink" Target="https://s22.q4cdn.com/959853165/files/doc_financials/quarterly_reports/2019/q1/FINAL-Q119-Shareholder-Letter.pdf" TargetMode="External"/><Relationship Id="rId95" Type="http://schemas.openxmlformats.org/officeDocument/2006/relationships/hyperlink" Target="https://s22.q4cdn.com/959853165/files/doc_financials/quarterly_reports/2019/q2/Q2-19-Shareholder-Letter-FINAL.pdf" TargetMode="External"/><Relationship Id="rId160" Type="http://schemas.openxmlformats.org/officeDocument/2006/relationships/hyperlink" Target="https://s22.q4cdn.com/959853165/files/doc_financials/2021/q1/FINAL-Q1-21-Shareholder-Letter.pdf" TargetMode="External"/><Relationship Id="rId22" Type="http://schemas.openxmlformats.org/officeDocument/2006/relationships/hyperlink" Target="https://s22.q4cdn.com/959853165/files/doc_financials/quarterly_reports/2018/q4/FINAL-Q418-Shareholder-Letter.pdf" TargetMode="External"/><Relationship Id="rId43" Type="http://schemas.openxmlformats.org/officeDocument/2006/relationships/hyperlink" Target="https://s22.q4cdn.com/959853165/files/doc_financials/quarterly_reports/2018/q2/FINAL-Q2-18-Shareholder-Letter.pdf" TargetMode="External"/><Relationship Id="rId64" Type="http://schemas.openxmlformats.org/officeDocument/2006/relationships/hyperlink" Target="https://s22.q4cdn.com/959853165/files/doc_financials/quarterly_reports/2018/q2/FINAL-Q2-18-Shareholder-Letter.pdf" TargetMode="External"/><Relationship Id="rId118" Type="http://schemas.openxmlformats.org/officeDocument/2006/relationships/hyperlink" Target="https://s22.q4cdn.com/959853165/files/doc_financials/2019/q4/FINAL-Q4-19-Shareholder-Letter.pdf" TargetMode="External"/><Relationship Id="rId139" Type="http://schemas.openxmlformats.org/officeDocument/2006/relationships/hyperlink" Target="https://s22.q4cdn.com/959853165/files/doc_financials/2020/q2/FINAL-Q2-20-Shareholder-Letter-V3-with-Tables.pdf" TargetMode="External"/><Relationship Id="rId85" Type="http://schemas.openxmlformats.org/officeDocument/2006/relationships/hyperlink" Target="https://s22.q4cdn.com/959853165/files/doc_financials/quarterly_reports/2019/q2/Q2-19-Shareholder-Letter-FINAL.pdf" TargetMode="External"/><Relationship Id="rId150" Type="http://schemas.openxmlformats.org/officeDocument/2006/relationships/hyperlink" Target="https://s22.q4cdn.com/959853165/files/doc_financials/2020/q3/FINAL-Q3-20-Shareholder-Letter.pdf" TargetMode="External"/><Relationship Id="rId12" Type="http://schemas.openxmlformats.org/officeDocument/2006/relationships/hyperlink" Target="https://s22.q4cdn.com/959853165/files/doc_financials/quarterly_reports/2019/q1/FINAL-Q119-Shareholder-Letter.pdf" TargetMode="External"/><Relationship Id="rId17" Type="http://schemas.openxmlformats.org/officeDocument/2006/relationships/hyperlink" Target="https://s22.q4cdn.com/959853165/files/doc_financials/quarterly_reports/2019/q1/FINAL-Q119-Shareholder-Letter.pdf" TargetMode="External"/><Relationship Id="rId33" Type="http://schemas.openxmlformats.org/officeDocument/2006/relationships/hyperlink" Target="https://s22.q4cdn.com/959853165/files/doc_financials/quarterly_reports/2018/q4/FINAL-Q418-Shareholder-Letter.pdf" TargetMode="External"/><Relationship Id="rId38" Type="http://schemas.openxmlformats.org/officeDocument/2006/relationships/hyperlink" Target="https://s22.q4cdn.com/959853165/files/doc_financials/quarterly_reports/2018/q2/FINAL-Q2-18-Shareholder-Letter.pdf" TargetMode="External"/><Relationship Id="rId59" Type="http://schemas.openxmlformats.org/officeDocument/2006/relationships/hyperlink" Target="https://s22.q4cdn.com/959853165/files/doc_financials/quarterly_reports/2018/q2/FINAL-Q2-18-Shareholder-Letter.pdf" TargetMode="External"/><Relationship Id="rId103" Type="http://schemas.openxmlformats.org/officeDocument/2006/relationships/hyperlink" Target="https://s22.q4cdn.com/959853165/files/doc_financials/quarterly_reports/2019/q3/FINAL-Q3-19-Shareholder-Letter.pdf" TargetMode="External"/><Relationship Id="rId108" Type="http://schemas.openxmlformats.org/officeDocument/2006/relationships/hyperlink" Target="https://s22.q4cdn.com/959853165/files/doc_financials/quarterly_reports/2019/q3/FINAL-Q3-19-Shareholder-Letter.pdf" TargetMode="External"/><Relationship Id="rId124" Type="http://schemas.openxmlformats.org/officeDocument/2006/relationships/hyperlink" Target="https://s22.q4cdn.com/959853165/files/doc_financials/2019/q4/FINAL-Q4-19-Shareholder-Letter.pdf" TargetMode="External"/><Relationship Id="rId129" Type="http://schemas.openxmlformats.org/officeDocument/2006/relationships/hyperlink" Target="https://s22.q4cdn.com/959853165/files/doc_financials/2020/q1/FINAL-Q1-20-Shareholder-Letter.pdf" TargetMode="External"/><Relationship Id="rId54" Type="http://schemas.openxmlformats.org/officeDocument/2006/relationships/hyperlink" Target="https://s22.q4cdn.com/959853165/files/doc_financials/quarterly_reports/2018/q2/FINAL-Q2-18-Shareholder-Letter.pdf" TargetMode="External"/><Relationship Id="rId70" Type="http://schemas.openxmlformats.org/officeDocument/2006/relationships/hyperlink" Target="https://s22.q4cdn.com/959853165/files/doc_financials/quarterly_reports/2018/q2/FINAL-Q2-18-Shareholder-Letter.pdf" TargetMode="External"/><Relationship Id="rId75" Type="http://schemas.openxmlformats.org/officeDocument/2006/relationships/hyperlink" Target="https://ir.netflix.com/static-files/419958ac-5fd7-4bcd-9fb1-ebca445a9016" TargetMode="External"/><Relationship Id="rId91" Type="http://schemas.openxmlformats.org/officeDocument/2006/relationships/hyperlink" Target="https://s22.q4cdn.com/959853165/files/doc_financials/quarterly_reports/2019/q2/Q2-19-Shareholder-Letter-FINAL.pdf" TargetMode="External"/><Relationship Id="rId96" Type="http://schemas.openxmlformats.org/officeDocument/2006/relationships/hyperlink" Target="https://s22.q4cdn.com/959853165/files/doc_financials/quarterly_reports/2019/q2/Q2-19-Shareholder-Letter-FINAL.pdf" TargetMode="External"/><Relationship Id="rId140" Type="http://schemas.openxmlformats.org/officeDocument/2006/relationships/hyperlink" Target="https://s22.q4cdn.com/959853165/files/doc_financials/2020/q2/FINAL-Q2-20-Shareholder-Letter-V3-with-Tables.pdf" TargetMode="External"/><Relationship Id="rId145" Type="http://schemas.openxmlformats.org/officeDocument/2006/relationships/hyperlink" Target="https://s22.q4cdn.com/959853165/files/doc_financials/2020/q3/FINAL-Q3-20-Shareholder-Letter.pdf" TargetMode="External"/><Relationship Id="rId161" Type="http://schemas.openxmlformats.org/officeDocument/2006/relationships/hyperlink" Target="https://s22.q4cdn.com/959853165/files/doc_financials/2021/q1/FINAL-Q1-21-Shareholder-Letter.pdf" TargetMode="External"/><Relationship Id="rId166" Type="http://schemas.openxmlformats.org/officeDocument/2006/relationships/hyperlink" Target="https://s22.q4cdn.com/959853165/files/doc_financials/2021/q3/FINAL-Q3-21-Shareholder-Letter.pdf" TargetMode="External"/><Relationship Id="rId1" Type="http://schemas.openxmlformats.org/officeDocument/2006/relationships/hyperlink" Target="https://s22.q4cdn.com/959853165/files/doc_financials/quarterly_reports/2019/q1/FINAL-Q119-Shareholder-Letter.pdf" TargetMode="External"/><Relationship Id="rId6" Type="http://schemas.openxmlformats.org/officeDocument/2006/relationships/hyperlink" Target="https://s22.q4cdn.com/959853165/files/doc_financials/quarterly_reports/2019/q1/FINAL-Q119-Shareholder-Letter.pdf" TargetMode="External"/><Relationship Id="rId23" Type="http://schemas.openxmlformats.org/officeDocument/2006/relationships/hyperlink" Target="https://s22.q4cdn.com/959853165/files/doc_financials/quarterly_reports/2018/q4/FINAL-Q418-Shareholder-Letter.pdf" TargetMode="External"/><Relationship Id="rId28" Type="http://schemas.openxmlformats.org/officeDocument/2006/relationships/hyperlink" Target="https://s22.q4cdn.com/959853165/files/doc_financials/quarterly_reports/2018/q4/FINAL-Q418-Shareholder-Letter.pdf" TargetMode="External"/><Relationship Id="rId49" Type="http://schemas.openxmlformats.org/officeDocument/2006/relationships/hyperlink" Target="https://s22.q4cdn.com/959853165/files/doc_financials/quarterly_reports/2018/q2/FINAL-Q2-18-Shareholder-Letter.pdf" TargetMode="External"/><Relationship Id="rId114" Type="http://schemas.openxmlformats.org/officeDocument/2006/relationships/hyperlink" Target="https://s22.q4cdn.com/959853165/files/doc_financials/quarterly_reports/2019/q3/FINAL-Q3-19-Shareholder-Letter.pdf" TargetMode="External"/><Relationship Id="rId119" Type="http://schemas.openxmlformats.org/officeDocument/2006/relationships/hyperlink" Target="https://s22.q4cdn.com/959853165/files/doc_financials/2019/q4/FINAL-Q4-19-Shareholder-Letter.pdf" TargetMode="External"/><Relationship Id="rId44" Type="http://schemas.openxmlformats.org/officeDocument/2006/relationships/hyperlink" Target="https://s22.q4cdn.com/959853165/files/doc_financials/quarterly_reports/2018/q2/FINAL-Q2-18-Shareholder-Letter.pdf" TargetMode="External"/><Relationship Id="rId60" Type="http://schemas.openxmlformats.org/officeDocument/2006/relationships/hyperlink" Target="https://s22.q4cdn.com/959853165/files/doc_financials/quarterly_reports/2018/q2/FINAL-Q2-18-Shareholder-Letter.pdf" TargetMode="External"/><Relationship Id="rId65" Type="http://schemas.openxmlformats.org/officeDocument/2006/relationships/hyperlink" Target="https://s22.q4cdn.com/959853165/files/doc_financials/quarterly_reports/2018/q2/FINAL-Q2-18-Shareholder-Letter.pdf" TargetMode="External"/><Relationship Id="rId81" Type="http://schemas.openxmlformats.org/officeDocument/2006/relationships/hyperlink" Target="https://ir.netflix.com/static-files/0c060a3f-d903-4eb9-bde6-bf3e58761712" TargetMode="External"/><Relationship Id="rId86" Type="http://schemas.openxmlformats.org/officeDocument/2006/relationships/hyperlink" Target="https://s22.q4cdn.com/959853165/files/doc_financials/quarterly_reports/2019/q2/Q2-19-Shareholder-Letter-FINAL.pdf" TargetMode="External"/><Relationship Id="rId130" Type="http://schemas.openxmlformats.org/officeDocument/2006/relationships/hyperlink" Target="https://s22.q4cdn.com/959853165/files/doc_financials/2020/q1/FINAL-Q1-20-Shareholder-Letter.pdf" TargetMode="External"/><Relationship Id="rId135" Type="http://schemas.openxmlformats.org/officeDocument/2006/relationships/hyperlink" Target="https://s22.q4cdn.com/959853165/files/doc_financials/2020/q2/FINAL-Q2-20-Shareholder-Letter-V3-with-Tables.pdf" TargetMode="External"/><Relationship Id="rId151" Type="http://schemas.openxmlformats.org/officeDocument/2006/relationships/hyperlink" Target="https://s22.q4cdn.com/959853165/files/doc_financials/2020/q3/FINAL-Q3-20-Shareholder-Letter.pdf" TargetMode="External"/><Relationship Id="rId156" Type="http://schemas.openxmlformats.org/officeDocument/2006/relationships/hyperlink" Target="https://s22.q4cdn.com/959853165/files/doc_financials/2020/q3/FINAL-Q3-20-Shareholder-Letter.pdf" TargetMode="External"/><Relationship Id="rId13" Type="http://schemas.openxmlformats.org/officeDocument/2006/relationships/hyperlink" Target="https://s22.q4cdn.com/959853165/files/doc_financials/quarterly_reports/2019/q1/FINAL-Q119-Shareholder-Letter.pdf" TargetMode="External"/><Relationship Id="rId18" Type="http://schemas.openxmlformats.org/officeDocument/2006/relationships/hyperlink" Target="https://s22.q4cdn.com/959853165/files/doc_financials/quarterly_reports/2018/q4/FINAL-Q418-Shareholder-Letter.pdf" TargetMode="External"/><Relationship Id="rId39" Type="http://schemas.openxmlformats.org/officeDocument/2006/relationships/hyperlink" Target="https://s22.q4cdn.com/959853165/files/doc_financials/quarterly_reports/2018/q2/FINAL-Q2-18-Shareholder-Letter.pdf" TargetMode="External"/><Relationship Id="rId109" Type="http://schemas.openxmlformats.org/officeDocument/2006/relationships/hyperlink" Target="https://s22.q4cdn.com/959853165/files/doc_financials/quarterly_reports/2019/q3/FINAL-Q3-19-Shareholder-Letter.pdf" TargetMode="External"/><Relationship Id="rId34" Type="http://schemas.openxmlformats.org/officeDocument/2006/relationships/hyperlink" Target="https://s22.q4cdn.com/959853165/files/doc_financials/quarterly_reports/2018/q4/FINAL-Q418-Shareholder-Letter.pdf" TargetMode="External"/><Relationship Id="rId50" Type="http://schemas.openxmlformats.org/officeDocument/2006/relationships/hyperlink" Target="https://s22.q4cdn.com/959853165/files/doc_financials/quarterly_reports/2018/q2/FINAL-Q2-18-Shareholder-Letter.pdf" TargetMode="External"/><Relationship Id="rId55" Type="http://schemas.openxmlformats.org/officeDocument/2006/relationships/hyperlink" Target="https://s22.q4cdn.com/959853165/files/doc_financials/quarterly_reports/2018/q2/FINAL-Q2-18-Shareholder-Letter.pdf" TargetMode="External"/><Relationship Id="rId76" Type="http://schemas.openxmlformats.org/officeDocument/2006/relationships/hyperlink" Target="https://ir.netflix.com/static-files/419958ac-5fd7-4bcd-9fb1-ebca445a9016" TargetMode="External"/><Relationship Id="rId97" Type="http://schemas.openxmlformats.org/officeDocument/2006/relationships/hyperlink" Target="https://s22.q4cdn.com/959853165/files/doc_financials/quarterly_reports/2019/q2/Q2-19-Shareholder-Letter-FINAL.pdf" TargetMode="External"/><Relationship Id="rId104" Type="http://schemas.openxmlformats.org/officeDocument/2006/relationships/hyperlink" Target="https://s22.q4cdn.com/959853165/files/doc_financials/quarterly_reports/2019/q3/FINAL-Q3-19-Shareholder-Letter.pdf" TargetMode="External"/><Relationship Id="rId120" Type="http://schemas.openxmlformats.org/officeDocument/2006/relationships/hyperlink" Target="https://s22.q4cdn.com/959853165/files/doc_financials/2019/q4/FINAL-Q4-19-Shareholder-Letter.pdf" TargetMode="External"/><Relationship Id="rId125" Type="http://schemas.openxmlformats.org/officeDocument/2006/relationships/hyperlink" Target="https://s22.q4cdn.com/959853165/files/doc_financials/2020/q1/FINAL-Q1-20-Shareholder-Letter.pdf" TargetMode="External"/><Relationship Id="rId141" Type="http://schemas.openxmlformats.org/officeDocument/2006/relationships/hyperlink" Target="https://s22.q4cdn.com/959853165/files/doc_financials/2020/q3/FINAL-Q3-20-Shareholder-Letter.pdf" TargetMode="External"/><Relationship Id="rId146" Type="http://schemas.openxmlformats.org/officeDocument/2006/relationships/hyperlink" Target="https://s22.q4cdn.com/959853165/files/doc_financials/2020/q3/FINAL-Q3-20-Shareholder-Letter.pdf" TargetMode="External"/><Relationship Id="rId167" Type="http://schemas.openxmlformats.org/officeDocument/2006/relationships/vmlDrawing" Target="../drawings/vmlDrawing3.vml"/><Relationship Id="rId7" Type="http://schemas.openxmlformats.org/officeDocument/2006/relationships/hyperlink" Target="https://s22.q4cdn.com/959853165/files/doc_financials/quarterly_reports/2019/q1/FINAL-Q119-Shareholder-Letter.pdf" TargetMode="External"/><Relationship Id="rId71" Type="http://schemas.openxmlformats.org/officeDocument/2006/relationships/hyperlink" Target="https://s22.q4cdn.com/959853165/files/doc_financials/quarterly_reports/2018/q2/FINAL-Q2-18-Shareholder-Letter.pdf" TargetMode="External"/><Relationship Id="rId92" Type="http://schemas.openxmlformats.org/officeDocument/2006/relationships/hyperlink" Target="https://s22.q4cdn.com/959853165/files/doc_financials/quarterly_reports/2019/q2/Q2-19-Shareholder-Letter-FINAL.pdf" TargetMode="External"/><Relationship Id="rId162" Type="http://schemas.openxmlformats.org/officeDocument/2006/relationships/hyperlink" Target="https://s22.q4cdn.com/959853165/files/doc_financials/2021/q2/FINAL-Q2-21-Shareholder-Letter.pdf" TargetMode="External"/><Relationship Id="rId2" Type="http://schemas.openxmlformats.org/officeDocument/2006/relationships/hyperlink" Target="https://s22.q4cdn.com/959853165/files/doc_financials/quarterly_reports/2019/q1/FINAL-Q119-Shareholder-Letter.pdf" TargetMode="External"/><Relationship Id="rId29" Type="http://schemas.openxmlformats.org/officeDocument/2006/relationships/hyperlink" Target="https://s22.q4cdn.com/959853165/files/doc_financials/quarterly_reports/2018/q4/FINAL-Q418-Shareholder-Letter.pdf" TargetMode="External"/><Relationship Id="rId24" Type="http://schemas.openxmlformats.org/officeDocument/2006/relationships/hyperlink" Target="https://s22.q4cdn.com/959853165/files/doc_financials/quarterly_reports/2018/q4/FINAL-Q418-Shareholder-Letter.pdf" TargetMode="External"/><Relationship Id="rId40" Type="http://schemas.openxmlformats.org/officeDocument/2006/relationships/hyperlink" Target="https://s22.q4cdn.com/959853165/files/doc_financials/quarterly_reports/2018/q2/FINAL-Q2-18-Shareholder-Letter.pdf" TargetMode="External"/><Relationship Id="rId45" Type="http://schemas.openxmlformats.org/officeDocument/2006/relationships/hyperlink" Target="https://s22.q4cdn.com/959853165/files/doc_financials/quarterly_reports/2018/q2/FINAL-Q2-18-Shareholder-Letter.pdf" TargetMode="External"/><Relationship Id="rId66" Type="http://schemas.openxmlformats.org/officeDocument/2006/relationships/hyperlink" Target="https://s22.q4cdn.com/959853165/files/doc_financials/quarterly_reports/2018/q2/FINAL-Q2-18-Shareholder-Letter.pdf" TargetMode="External"/><Relationship Id="rId87" Type="http://schemas.openxmlformats.org/officeDocument/2006/relationships/hyperlink" Target="https://s22.q4cdn.com/959853165/files/doc_financials/quarterly_reports/2019/q2/Q2-19-Shareholder-Letter-FINAL.pdf" TargetMode="External"/><Relationship Id="rId110" Type="http://schemas.openxmlformats.org/officeDocument/2006/relationships/hyperlink" Target="https://s22.q4cdn.com/959853165/files/doc_financials/quarterly_reports/2019/q3/FINAL-Q3-19-Shareholder-Letter.pdf" TargetMode="External"/><Relationship Id="rId115" Type="http://schemas.openxmlformats.org/officeDocument/2006/relationships/hyperlink" Target="https://s22.q4cdn.com/959853165/files/doc_financials/quarterly_reports/2019/q3/FINAL-Q3-19-Shareholder-Letter.pdf" TargetMode="External"/><Relationship Id="rId131" Type="http://schemas.openxmlformats.org/officeDocument/2006/relationships/hyperlink" Target="https://s22.q4cdn.com/959853165/files/doc_financials/2020/q1/FINAL-Q1-20-Shareholder-Letter.pdf" TargetMode="External"/><Relationship Id="rId136" Type="http://schemas.openxmlformats.org/officeDocument/2006/relationships/hyperlink" Target="https://s22.q4cdn.com/959853165/files/doc_financials/2020/q2/FINAL-Q2-20-Shareholder-Letter-V3-with-Tables.pdf" TargetMode="External"/><Relationship Id="rId157" Type="http://schemas.openxmlformats.org/officeDocument/2006/relationships/hyperlink" Target="https://s22.q4cdn.com/959853165/files/doc_financials/2020/q3/FINAL-Q3-20-Shareholder-Letter.pdf" TargetMode="External"/><Relationship Id="rId61" Type="http://schemas.openxmlformats.org/officeDocument/2006/relationships/hyperlink" Target="https://s22.q4cdn.com/959853165/files/doc_financials/quarterly_reports/2018/q2/FINAL-Q2-18-Shareholder-Letter.pdf" TargetMode="External"/><Relationship Id="rId82" Type="http://schemas.openxmlformats.org/officeDocument/2006/relationships/hyperlink" Target="https://ir.netflix.com/static-files/0c060a3f-d903-4eb9-bde6-bf3e58761712" TargetMode="External"/><Relationship Id="rId152" Type="http://schemas.openxmlformats.org/officeDocument/2006/relationships/hyperlink" Target="https://s22.q4cdn.com/959853165/files/doc_financials/2020/q3/FINAL-Q3-20-Shareholder-Letter.pdf" TargetMode="External"/><Relationship Id="rId19" Type="http://schemas.openxmlformats.org/officeDocument/2006/relationships/hyperlink" Target="https://s22.q4cdn.com/959853165/files/doc_financials/quarterly_reports/2018/q4/FINAL-Q418-Shareholder-Letter.pdf" TargetMode="External"/><Relationship Id="rId14" Type="http://schemas.openxmlformats.org/officeDocument/2006/relationships/hyperlink" Target="https://s22.q4cdn.com/959853165/files/doc_financials/quarterly_reports/2019/q1/FINAL-Q119-Shareholder-Letter.pdf" TargetMode="External"/><Relationship Id="rId30" Type="http://schemas.openxmlformats.org/officeDocument/2006/relationships/hyperlink" Target="https://s22.q4cdn.com/959853165/files/doc_financials/quarterly_reports/2018/q4/FINAL-Q418-Shareholder-Letter.pdf" TargetMode="External"/><Relationship Id="rId35" Type="http://schemas.openxmlformats.org/officeDocument/2006/relationships/hyperlink" Target="https://s22.q4cdn.com/959853165/files/doc_financials/quarterly_reports/2018/q2/FINAL-Q2-18-Shareholder-Letter.pdf" TargetMode="External"/><Relationship Id="rId56" Type="http://schemas.openxmlformats.org/officeDocument/2006/relationships/hyperlink" Target="https://s22.q4cdn.com/959853165/files/doc_financials/quarterly_reports/2018/q2/FINAL-Q2-18-Shareholder-Letter.pdf" TargetMode="External"/><Relationship Id="rId77" Type="http://schemas.openxmlformats.org/officeDocument/2006/relationships/hyperlink" Target="https://ir.netflix.com/static-files/419958ac-5fd7-4bcd-9fb1-ebca445a9016" TargetMode="External"/><Relationship Id="rId100" Type="http://schemas.openxmlformats.org/officeDocument/2006/relationships/hyperlink" Target="https://s22.q4cdn.com/959853165/files/doc_financials/quarterly_reports/2019/q3/FINAL-Q3-19-Shareholder-Letter.pdf" TargetMode="External"/><Relationship Id="rId105" Type="http://schemas.openxmlformats.org/officeDocument/2006/relationships/hyperlink" Target="https://s22.q4cdn.com/959853165/files/doc_financials/quarterly_reports/2019/q3/FINAL-Q3-19-Shareholder-Letter.pdf" TargetMode="External"/><Relationship Id="rId126" Type="http://schemas.openxmlformats.org/officeDocument/2006/relationships/hyperlink" Target="https://s22.q4cdn.com/959853165/files/doc_financials/2020/q1/FINAL-Q1-20-Shareholder-Letter.pdf" TargetMode="External"/><Relationship Id="rId147" Type="http://schemas.openxmlformats.org/officeDocument/2006/relationships/hyperlink" Target="https://s22.q4cdn.com/959853165/files/doc_financials/2020/q3/FINAL-Q3-20-Shareholder-Letter.pdf" TargetMode="External"/><Relationship Id="rId168" Type="http://schemas.openxmlformats.org/officeDocument/2006/relationships/comments" Target="../comments3.xml"/><Relationship Id="rId8" Type="http://schemas.openxmlformats.org/officeDocument/2006/relationships/hyperlink" Target="https://s22.q4cdn.com/959853165/files/doc_financials/quarterly_reports/2019/q1/FINAL-Q119-Shareholder-Letter.pdf" TargetMode="External"/><Relationship Id="rId51" Type="http://schemas.openxmlformats.org/officeDocument/2006/relationships/hyperlink" Target="https://s22.q4cdn.com/959853165/files/doc_financials/quarterly_reports/2018/q2/FINAL-Q2-18-Shareholder-Letter.pdf" TargetMode="External"/><Relationship Id="rId72" Type="http://schemas.openxmlformats.org/officeDocument/2006/relationships/hyperlink" Target="https://s22.q4cdn.com/959853165/files/doc_financials/quarterly_reports/2018/q2/FINAL-Q2-18-Shareholder-Letter.pdf" TargetMode="External"/><Relationship Id="rId93" Type="http://schemas.openxmlformats.org/officeDocument/2006/relationships/hyperlink" Target="https://s22.q4cdn.com/959853165/files/doc_financials/quarterly_reports/2019/q2/Q2-19-Shareholder-Letter-FINAL.pdf" TargetMode="External"/><Relationship Id="rId98" Type="http://schemas.openxmlformats.org/officeDocument/2006/relationships/hyperlink" Target="https://s22.q4cdn.com/959853165/files/doc_financials/quarterly_reports/2019/q2/Q2-19-Shareholder-Letter-FINAL.pdf" TargetMode="External"/><Relationship Id="rId121" Type="http://schemas.openxmlformats.org/officeDocument/2006/relationships/hyperlink" Target="https://s22.q4cdn.com/959853165/files/doc_financials/2019/q4/FINAL-Q4-19-Shareholder-Letter.pdf" TargetMode="External"/><Relationship Id="rId142" Type="http://schemas.openxmlformats.org/officeDocument/2006/relationships/hyperlink" Target="https://s22.q4cdn.com/959853165/files/doc_financials/2020/q3/FINAL-Q3-20-Shareholder-Letter.pdf" TargetMode="External"/><Relationship Id="rId163" Type="http://schemas.openxmlformats.org/officeDocument/2006/relationships/hyperlink" Target="https://s22.q4cdn.com/959853165/files/doc_financials/2021/q2/FINAL-Q2-21-Shareholder-Letter.pdf" TargetMode="External"/><Relationship Id="rId3" Type="http://schemas.openxmlformats.org/officeDocument/2006/relationships/hyperlink" Target="https://s22.q4cdn.com/959853165/files/doc_financials/quarterly_reports/2019/q1/FINAL-Q119-Shareholder-Letter.pdf" TargetMode="External"/><Relationship Id="rId25" Type="http://schemas.openxmlformats.org/officeDocument/2006/relationships/hyperlink" Target="https://s22.q4cdn.com/959853165/files/doc_financials/quarterly_reports/2018/q4/FINAL-Q418-Shareholder-Letter.pdf" TargetMode="External"/><Relationship Id="rId46" Type="http://schemas.openxmlformats.org/officeDocument/2006/relationships/hyperlink" Target="https://s22.q4cdn.com/959853165/files/doc_financials/quarterly_reports/2018/q2/FINAL-Q2-18-Shareholder-Letter.pdf" TargetMode="External"/><Relationship Id="rId67" Type="http://schemas.openxmlformats.org/officeDocument/2006/relationships/hyperlink" Target="https://s22.q4cdn.com/959853165/files/doc_financials/quarterly_reports/2018/q2/FINAL-Q2-18-Shareholder-Letter.pdf" TargetMode="External"/><Relationship Id="rId116" Type="http://schemas.openxmlformats.org/officeDocument/2006/relationships/hyperlink" Target="https://s22.q4cdn.com/959853165/files/doc_financials/quarterly_reports/2019/q3/FINAL-Q3-19-Shareholder-Letter.pdf" TargetMode="External"/><Relationship Id="rId137" Type="http://schemas.openxmlformats.org/officeDocument/2006/relationships/hyperlink" Target="https://s22.q4cdn.com/959853165/files/doc_financials/2020/q2/FINAL-Q2-20-Shareholder-Letter-V3-with-Tables.pdf" TargetMode="External"/><Relationship Id="rId158" Type="http://schemas.openxmlformats.org/officeDocument/2006/relationships/hyperlink" Target="https://s22.q4cdn.com/959853165/files/doc_financials/2020/q3/FINAL-Q3-20-Shareholder-Letter.pdf" TargetMode="External"/><Relationship Id="rId20" Type="http://schemas.openxmlformats.org/officeDocument/2006/relationships/hyperlink" Target="https://s22.q4cdn.com/959853165/files/doc_financials/quarterly_reports/2018/q4/FINAL-Q418-Shareholder-Letter.pdf" TargetMode="External"/><Relationship Id="rId41" Type="http://schemas.openxmlformats.org/officeDocument/2006/relationships/hyperlink" Target="https://s22.q4cdn.com/959853165/files/doc_financials/quarterly_reports/2018/q2/FINAL-Q2-18-Shareholder-Letter.pdf" TargetMode="External"/><Relationship Id="rId62" Type="http://schemas.openxmlformats.org/officeDocument/2006/relationships/hyperlink" Target="https://s22.q4cdn.com/959853165/files/doc_financials/quarterly_reports/2018/q2/FINAL-Q2-18-Shareholder-Letter.pdf" TargetMode="External"/><Relationship Id="rId83" Type="http://schemas.openxmlformats.org/officeDocument/2006/relationships/hyperlink" Target="https://s22.q4cdn.com/959853165/files/doc_financials/quarterly_reports/2019/q2/Q2-19-Shareholder-Letter-FINAL.pdf" TargetMode="External"/><Relationship Id="rId88" Type="http://schemas.openxmlformats.org/officeDocument/2006/relationships/hyperlink" Target="https://s22.q4cdn.com/959853165/files/doc_financials/quarterly_reports/2019/q2/Q2-19-Shareholder-Letter-FINAL.pdf" TargetMode="External"/><Relationship Id="rId111" Type="http://schemas.openxmlformats.org/officeDocument/2006/relationships/hyperlink" Target="https://s22.q4cdn.com/959853165/files/doc_financials/quarterly_reports/2019/q3/FINAL-Q3-19-Shareholder-Letter.pdf" TargetMode="External"/><Relationship Id="rId132" Type="http://schemas.openxmlformats.org/officeDocument/2006/relationships/hyperlink" Target="https://s22.q4cdn.com/959853165/files/doc_financials/2020/q1/FINAL-Q1-20-Shareholder-Letter.pdf" TargetMode="External"/><Relationship Id="rId153" Type="http://schemas.openxmlformats.org/officeDocument/2006/relationships/hyperlink" Target="https://s22.q4cdn.com/959853165/files/doc_financials/2020/q3/FINAL-Q3-20-Shareholder-Letter.pdf" TargetMode="External"/><Relationship Id="rId15" Type="http://schemas.openxmlformats.org/officeDocument/2006/relationships/hyperlink" Target="https://s22.q4cdn.com/959853165/files/doc_financials/quarterly_reports/2019/q1/FINAL-Q119-Shareholder-Letter.pdf" TargetMode="External"/><Relationship Id="rId36" Type="http://schemas.openxmlformats.org/officeDocument/2006/relationships/hyperlink" Target="https://s22.q4cdn.com/959853165/files/doc_financials/quarterly_reports/2018/q2/FINAL-Q2-18-Shareholder-Letter.pdf" TargetMode="External"/><Relationship Id="rId57" Type="http://schemas.openxmlformats.org/officeDocument/2006/relationships/hyperlink" Target="https://s22.q4cdn.com/959853165/files/doc_financials/quarterly_reports/2018/q2/FINAL-Q2-18-Shareholder-Letter.pdf" TargetMode="External"/><Relationship Id="rId106" Type="http://schemas.openxmlformats.org/officeDocument/2006/relationships/hyperlink" Target="https://s22.q4cdn.com/959853165/files/doc_financials/quarterly_reports/2019/q3/FINAL-Q3-19-Shareholder-Letter.pdf" TargetMode="External"/><Relationship Id="rId127" Type="http://schemas.openxmlformats.org/officeDocument/2006/relationships/hyperlink" Target="https://s22.q4cdn.com/959853165/files/doc_financials/2020/q1/FINAL-Q1-20-Shareholder-Letter.pdf" TargetMode="External"/><Relationship Id="rId10" Type="http://schemas.openxmlformats.org/officeDocument/2006/relationships/hyperlink" Target="https://s22.q4cdn.com/959853165/files/doc_financials/quarterly_reports/2019/q1/FINAL-Q119-Shareholder-Letter.pdf" TargetMode="External"/><Relationship Id="rId31" Type="http://schemas.openxmlformats.org/officeDocument/2006/relationships/hyperlink" Target="https://s22.q4cdn.com/959853165/files/doc_financials/quarterly_reports/2018/q4/FINAL-Q418-Shareholder-Letter.pdf" TargetMode="External"/><Relationship Id="rId52" Type="http://schemas.openxmlformats.org/officeDocument/2006/relationships/hyperlink" Target="https://s22.q4cdn.com/959853165/files/doc_financials/quarterly_reports/2018/q2/FINAL-Q2-18-Shareholder-Letter.pdf" TargetMode="External"/><Relationship Id="rId73" Type="http://schemas.openxmlformats.org/officeDocument/2006/relationships/hyperlink" Target="https://ir.netflix.com/static-files/419958ac-5fd7-4bcd-9fb1-ebca445a9016" TargetMode="External"/><Relationship Id="rId78" Type="http://schemas.openxmlformats.org/officeDocument/2006/relationships/hyperlink" Target="https://ir.netflix.com/static-files/0c060a3f-d903-4eb9-bde6-bf3e58761712" TargetMode="External"/><Relationship Id="rId94" Type="http://schemas.openxmlformats.org/officeDocument/2006/relationships/hyperlink" Target="https://s22.q4cdn.com/959853165/files/doc_financials/quarterly_reports/2019/q2/Q2-19-Shareholder-Letter-FINAL.pdf" TargetMode="External"/><Relationship Id="rId99" Type="http://schemas.openxmlformats.org/officeDocument/2006/relationships/hyperlink" Target="https://s22.q4cdn.com/959853165/files/doc_financials/quarterly_reports/2019/q3/FINAL-Q3-19-Shareholder-Letter.pdf" TargetMode="External"/><Relationship Id="rId101" Type="http://schemas.openxmlformats.org/officeDocument/2006/relationships/hyperlink" Target="https://s22.q4cdn.com/959853165/files/doc_financials/quarterly_reports/2019/q3/FINAL-Q3-19-Shareholder-Letter.pdf" TargetMode="External"/><Relationship Id="rId122" Type="http://schemas.openxmlformats.org/officeDocument/2006/relationships/hyperlink" Target="https://s22.q4cdn.com/959853165/files/doc_financials/2019/q4/FINAL-Q4-19-Shareholder-Letter.pdf" TargetMode="External"/><Relationship Id="rId143" Type="http://schemas.openxmlformats.org/officeDocument/2006/relationships/hyperlink" Target="https://s22.q4cdn.com/959853165/files/doc_financials/2020/q3/FINAL-Q3-20-Shareholder-Letter.pdf" TargetMode="External"/><Relationship Id="rId148" Type="http://schemas.openxmlformats.org/officeDocument/2006/relationships/hyperlink" Target="https://s22.q4cdn.com/959853165/files/doc_financials/2020/q3/FINAL-Q3-20-Shareholder-Letter.pdf" TargetMode="External"/><Relationship Id="rId164" Type="http://schemas.openxmlformats.org/officeDocument/2006/relationships/hyperlink" Target="https://s22.q4cdn.com/959853165/files/doc_financials/2021/q3/FINAL-Q3-21-Shareholder-Letter.pdf" TargetMode="External"/><Relationship Id="rId4" Type="http://schemas.openxmlformats.org/officeDocument/2006/relationships/hyperlink" Target="https://s22.q4cdn.com/959853165/files/doc_financials/quarterly_reports/2019/q1/FINAL-Q119-Shareholder-Letter.pdf" TargetMode="External"/><Relationship Id="rId9" Type="http://schemas.openxmlformats.org/officeDocument/2006/relationships/hyperlink" Target="https://s22.q4cdn.com/959853165/files/doc_financials/quarterly_reports/2019/q1/FINAL-Q119-Shareholder-Letter.pdf" TargetMode="External"/><Relationship Id="rId26" Type="http://schemas.openxmlformats.org/officeDocument/2006/relationships/hyperlink" Target="https://s22.q4cdn.com/959853165/files/doc_financials/quarterly_reports/2018/q4/FINAL-Q418-Shareholder-Letter.pdf" TargetMode="External"/><Relationship Id="rId47" Type="http://schemas.openxmlformats.org/officeDocument/2006/relationships/hyperlink" Target="https://s22.q4cdn.com/959853165/files/doc_financials/quarterly_reports/2018/q2/FINAL-Q2-18-Shareholder-Letter.pdf" TargetMode="External"/><Relationship Id="rId68" Type="http://schemas.openxmlformats.org/officeDocument/2006/relationships/hyperlink" Target="https://s22.q4cdn.com/959853165/files/doc_financials/quarterly_reports/2018/q2/FINAL-Q2-18-Shareholder-Letter.pdf" TargetMode="External"/><Relationship Id="rId89" Type="http://schemas.openxmlformats.org/officeDocument/2006/relationships/hyperlink" Target="https://s22.q4cdn.com/959853165/files/doc_financials/quarterly_reports/2019/q2/Q2-19-Shareholder-Letter-FINAL.pdf" TargetMode="External"/><Relationship Id="rId112" Type="http://schemas.openxmlformats.org/officeDocument/2006/relationships/hyperlink" Target="https://s22.q4cdn.com/959853165/files/doc_financials/quarterly_reports/2019/q3/FINAL-Q3-19-Shareholder-Letter.pdf" TargetMode="External"/><Relationship Id="rId133" Type="http://schemas.openxmlformats.org/officeDocument/2006/relationships/hyperlink" Target="https://s22.q4cdn.com/959853165/files/doc_financials/2020/q2/FINAL-Q2-20-Shareholder-Letter-V3-with-Tables.pdf" TargetMode="External"/><Relationship Id="rId154" Type="http://schemas.openxmlformats.org/officeDocument/2006/relationships/hyperlink" Target="https://s22.q4cdn.com/959853165/files/doc_financials/2020/q3/FINAL-Q3-20-Shareholder-Letter.pdf" TargetMode="External"/><Relationship Id="rId16" Type="http://schemas.openxmlformats.org/officeDocument/2006/relationships/hyperlink" Target="https://s22.q4cdn.com/959853165/files/doc_financials/quarterly_reports/2019/q1/FINAL-Q119-Shareholder-Letter.pdf" TargetMode="External"/><Relationship Id="rId37" Type="http://schemas.openxmlformats.org/officeDocument/2006/relationships/hyperlink" Target="https://s22.q4cdn.com/959853165/files/doc_financials/quarterly_reports/2018/q2/FINAL-Q2-18-Shareholder-Letter.pdf" TargetMode="External"/><Relationship Id="rId58" Type="http://schemas.openxmlformats.org/officeDocument/2006/relationships/hyperlink" Target="https://s22.q4cdn.com/959853165/files/doc_financials/quarterly_reports/2018/q2/FINAL-Q2-18-Shareholder-Letter.pdf" TargetMode="External"/><Relationship Id="rId79" Type="http://schemas.openxmlformats.org/officeDocument/2006/relationships/hyperlink" Target="https://ir.netflix.com/static-files/0c060a3f-d903-4eb9-bde6-bf3e58761712" TargetMode="External"/><Relationship Id="rId102" Type="http://schemas.openxmlformats.org/officeDocument/2006/relationships/hyperlink" Target="https://s22.q4cdn.com/959853165/files/doc_financials/quarterly_reports/2019/q3/FINAL-Q3-19-Shareholder-Letter.pdf" TargetMode="External"/><Relationship Id="rId123" Type="http://schemas.openxmlformats.org/officeDocument/2006/relationships/hyperlink" Target="https://s22.q4cdn.com/959853165/files/doc_financials/2019/q4/FINAL-Q4-19-Shareholder-Letter.pdf" TargetMode="External"/><Relationship Id="rId144" Type="http://schemas.openxmlformats.org/officeDocument/2006/relationships/hyperlink" Target="https://s22.q4cdn.com/959853165/files/doc_financials/2020/q3/FINAL-Q3-20-Shareholder-Letter.pdf" TargetMode="External"/><Relationship Id="rId90" Type="http://schemas.openxmlformats.org/officeDocument/2006/relationships/hyperlink" Target="https://s22.q4cdn.com/959853165/files/doc_financials/quarterly_reports/2019/q2/Q2-19-Shareholder-Letter-FINAL.pdf" TargetMode="External"/><Relationship Id="rId165" Type="http://schemas.openxmlformats.org/officeDocument/2006/relationships/hyperlink" Target="https://s22.q4cdn.com/959853165/files/doc_financials/2021/q3/FINAL-Q3-21-Shareholder-Letter.pdf" TargetMode="External"/><Relationship Id="rId27" Type="http://schemas.openxmlformats.org/officeDocument/2006/relationships/hyperlink" Target="https://s22.q4cdn.com/959853165/files/doc_financials/quarterly_reports/2018/q4/FINAL-Q418-Shareholder-Letter.pdf" TargetMode="External"/><Relationship Id="rId48" Type="http://schemas.openxmlformats.org/officeDocument/2006/relationships/hyperlink" Target="https://s22.q4cdn.com/959853165/files/doc_financials/quarterly_reports/2018/q2/FINAL-Q2-18-Shareholder-Letter.pdf" TargetMode="External"/><Relationship Id="rId69" Type="http://schemas.openxmlformats.org/officeDocument/2006/relationships/hyperlink" Target="https://s22.q4cdn.com/959853165/files/doc_financials/quarterly_reports/2018/q2/FINAL-Q2-18-Shareholder-Letter.pdf" TargetMode="External"/><Relationship Id="rId113" Type="http://schemas.openxmlformats.org/officeDocument/2006/relationships/hyperlink" Target="https://s22.q4cdn.com/959853165/files/doc_financials/quarterly_reports/2019/q3/FINAL-Q3-19-Shareholder-Letter.pdf" TargetMode="External"/><Relationship Id="rId134" Type="http://schemas.openxmlformats.org/officeDocument/2006/relationships/hyperlink" Target="https://s22.q4cdn.com/959853165/files/doc_financials/2020/q2/FINAL-Q2-20-Shareholder-Letter-V3-with-Tables.pdf" TargetMode="External"/><Relationship Id="rId80" Type="http://schemas.openxmlformats.org/officeDocument/2006/relationships/hyperlink" Target="https://ir.netflix.com/static-files/0c060a3f-d903-4eb9-bde6-bf3e58761712" TargetMode="External"/><Relationship Id="rId155" Type="http://schemas.openxmlformats.org/officeDocument/2006/relationships/hyperlink" Target="https://s22.q4cdn.com/959853165/files/doc_financials/2020/q3/FINAL-Q3-20-Shareholder-Letter.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sec.gov/Archives/edgar/data/1065280/000106528017000041/nflx-063017xex991.htm" TargetMode="External"/><Relationship Id="rId13" Type="http://schemas.openxmlformats.org/officeDocument/2006/relationships/hyperlink" Target="https://s22.q4cdn.com/959853165/files/doc_financials/quarterly_reports/2019/q3/FINAL-Q3-19-Shareholder-Letter.pdf" TargetMode="External"/><Relationship Id="rId18" Type="http://schemas.openxmlformats.org/officeDocument/2006/relationships/hyperlink" Target="https://s22.q4cdn.com/959853165/files/doc_financials/2020/q3/FINAL-Q3-20-Shareholder-Letter.pdf" TargetMode="External"/><Relationship Id="rId26" Type="http://schemas.openxmlformats.org/officeDocument/2006/relationships/hyperlink" Target="https://s22.q4cdn.com/959853165/files/doc_financials/2021/q3/FINAL-Q3-21-Shareholder-Letter.pdf" TargetMode="External"/><Relationship Id="rId3" Type="http://schemas.openxmlformats.org/officeDocument/2006/relationships/hyperlink" Target="https://s22.q4cdn.com/959853165/files/doc_financials/quarterly_reports/2018/q3/FINAL-Q3-18-Shareholder-Letter.pdf" TargetMode="External"/><Relationship Id="rId21" Type="http://schemas.openxmlformats.org/officeDocument/2006/relationships/hyperlink" Target="https://s22.q4cdn.com/959853165/files/doc_financials/2020/q4/FINAL-Q420-Shareholder-Letter.pdf" TargetMode="External"/><Relationship Id="rId7" Type="http://schemas.openxmlformats.org/officeDocument/2006/relationships/hyperlink" Target="https://www.sec.gov/Archives/edgar/data/1065280/000106528017000172/nflx-093017xex991.htm" TargetMode="External"/><Relationship Id="rId12" Type="http://schemas.openxmlformats.org/officeDocument/2006/relationships/hyperlink" Target="https://s22.q4cdn.com/959853165/files/doc_financials/quarterly_reports/2019/q2/Q2-19-Shareholder-Letter-FINAL.pdf" TargetMode="External"/><Relationship Id="rId17" Type="http://schemas.openxmlformats.org/officeDocument/2006/relationships/hyperlink" Target="https://s22.q4cdn.com/959853165/files/doc_financials/2020/q2/FINAL-Q2-20-Shareholder-Letter-V3-with-Tables.pdf" TargetMode="External"/><Relationship Id="rId25" Type="http://schemas.openxmlformats.org/officeDocument/2006/relationships/hyperlink" Target="https://s22.q4cdn.com/959853165/files/doc_financials/2021/q2/FINAL-Q2-21-Shareholder-Letter.pdf" TargetMode="External"/><Relationship Id="rId2" Type="http://schemas.openxmlformats.org/officeDocument/2006/relationships/hyperlink" Target="https://s22.q4cdn.com/959853165/files/doc_financials/quarterly_reports/2018/q4/FINAL-Q418-Shareholder-Letter.pdf" TargetMode="External"/><Relationship Id="rId16" Type="http://schemas.openxmlformats.org/officeDocument/2006/relationships/hyperlink" Target="https://s22.q4cdn.com/959853165/files/doc_financials/2020/q2/FINAL-Q2-20-Shareholder-Letter-V3-with-Tables.pdf" TargetMode="External"/><Relationship Id="rId20" Type="http://schemas.openxmlformats.org/officeDocument/2006/relationships/hyperlink" Target="https://s22.q4cdn.com/959853165/files/doc_financials/2020/q4/FINAL-Q420-Shareholder-Letter.pdf" TargetMode="External"/><Relationship Id="rId1" Type="http://schemas.openxmlformats.org/officeDocument/2006/relationships/hyperlink" Target="https://s22.q4cdn.com/959853165/files/doc_financials/quarterly_reports/2019/q1/FINAL-Q119-Shareholder-Letter.pdf" TargetMode="External"/><Relationship Id="rId6" Type="http://schemas.openxmlformats.org/officeDocument/2006/relationships/hyperlink" Target="https://ir.netflix.com/static-files/0c060a3f-d903-4eb9-bde6-bf3e58761712" TargetMode="External"/><Relationship Id="rId11" Type="http://schemas.openxmlformats.org/officeDocument/2006/relationships/hyperlink" Target="http://files.shareholder.com/downloads/NFLX/3150399094x0x912075/700E14FD-12BE-4C3A-9283-9A975C7FE549/FINAL_Q3_Letter.pdf" TargetMode="External"/><Relationship Id="rId24" Type="http://schemas.openxmlformats.org/officeDocument/2006/relationships/hyperlink" Target="https://s22.q4cdn.com/959853165/files/doc_financials/2021/q2/FINAL-Q2-21-Shareholder-Letter.pdf" TargetMode="External"/><Relationship Id="rId5" Type="http://schemas.openxmlformats.org/officeDocument/2006/relationships/hyperlink" Target="https://ir.netflix.com/static-files/419958ac-5fd7-4bcd-9fb1-ebca445a9016" TargetMode="External"/><Relationship Id="rId15" Type="http://schemas.openxmlformats.org/officeDocument/2006/relationships/hyperlink" Target="https://s22.q4cdn.com/959853165/files/doc_financials/2020/q1/FINAL-Q1-20-Shareholder-Letter.pdf" TargetMode="External"/><Relationship Id="rId23" Type="http://schemas.openxmlformats.org/officeDocument/2006/relationships/hyperlink" Target="https://s22.q4cdn.com/959853165/files/doc_financials/2021/q1/FINAL-Q1-21-Shareholder-Letter.pdf" TargetMode="External"/><Relationship Id="rId28" Type="http://schemas.openxmlformats.org/officeDocument/2006/relationships/drawing" Target="../drawings/drawing2.xml"/><Relationship Id="rId10" Type="http://schemas.openxmlformats.org/officeDocument/2006/relationships/hyperlink" Target="https://ir.netflix.com/releases.cfm" TargetMode="External"/><Relationship Id="rId19" Type="http://schemas.openxmlformats.org/officeDocument/2006/relationships/hyperlink" Target="https://s22.q4cdn.com/959853165/files/doc_financials/2020/q3/FINAL-Q3-20-Shareholder-Letter.pdf" TargetMode="External"/><Relationship Id="rId4" Type="http://schemas.openxmlformats.org/officeDocument/2006/relationships/hyperlink" Target="https://s22.q4cdn.com/959853165/files/doc_financials/quarterly_reports/2018/q2/FINAL-Q2-18-Shareholder-Letter.pdf" TargetMode="External"/><Relationship Id="rId9" Type="http://schemas.openxmlformats.org/officeDocument/2006/relationships/hyperlink" Target="http://files.shareholder.com/downloads/NFLX/4323472529x0x937576/7DAD8A22-F8FE-4339-A534-4A851A5C68E5/Q117ShareholderLetterV2FINAL.pdf" TargetMode="External"/><Relationship Id="rId14" Type="http://schemas.openxmlformats.org/officeDocument/2006/relationships/hyperlink" Target="https://s22.q4cdn.com/959853165/files/doc_financials/2019/q4/FINAL-Q4-19-Shareholder-Letter.pdf" TargetMode="External"/><Relationship Id="rId22" Type="http://schemas.openxmlformats.org/officeDocument/2006/relationships/hyperlink" Target="https://s22.q4cdn.com/959853165/files/doc_financials/2021/q1/FINAL-Q1-21-Shareholder-Letter.pdf" TargetMode="External"/><Relationship Id="rId27" Type="http://schemas.openxmlformats.org/officeDocument/2006/relationships/hyperlink" Target="https://s22.q4cdn.com/959853165/files/doc_financials/2021/q3/FINAL-Q3-21-Shareholder-Letter.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B2:X57"/>
  <sheetViews>
    <sheetView showGridLines="0" tabSelected="1" zoomScaleNormal="100" zoomScaleSheetLayoutView="100" zoomScalePageLayoutView="97" workbookViewId="0"/>
  </sheetViews>
  <sheetFormatPr defaultColWidth="8.85546875" defaultRowHeight="15" x14ac:dyDescent="0.25"/>
  <cols>
    <col min="1" max="1" width="5.7109375" style="24" customWidth="1"/>
    <col min="2" max="2" width="7.85546875" style="24" customWidth="1"/>
    <col min="3" max="3" width="10.28515625" style="24" customWidth="1"/>
    <col min="4" max="4" width="13.7109375" style="24" customWidth="1"/>
    <col min="5" max="5" width="5.42578125" style="24" customWidth="1"/>
    <col min="6" max="6" width="13.7109375" style="24" customWidth="1"/>
    <col min="7" max="7" width="6.85546875" style="24" customWidth="1"/>
    <col min="8" max="8" width="31.7109375" style="24" customWidth="1"/>
    <col min="9" max="15" width="8.85546875" style="24" customWidth="1"/>
    <col min="16" max="16" width="45.7109375" style="24" customWidth="1"/>
    <col min="17" max="20" width="8.85546875" style="24" customWidth="1"/>
    <col min="21" max="16384" width="8.85546875" style="24"/>
  </cols>
  <sheetData>
    <row r="2" spans="2:24" x14ac:dyDescent="0.25">
      <c r="B2" s="23"/>
      <c r="C2" s="23"/>
      <c r="D2" s="23"/>
      <c r="E2" s="23"/>
      <c r="F2" s="23"/>
      <c r="G2" s="23"/>
      <c r="H2" s="23"/>
      <c r="I2" s="23"/>
      <c r="J2" s="23"/>
      <c r="K2" s="23"/>
      <c r="L2" s="23"/>
      <c r="M2" s="23"/>
      <c r="N2" s="23"/>
      <c r="O2" s="23"/>
      <c r="P2" s="23"/>
      <c r="Q2" s="23"/>
      <c r="R2" s="25"/>
      <c r="S2" s="25"/>
      <c r="T2" s="25"/>
      <c r="U2" s="25"/>
      <c r="V2" s="25"/>
      <c r="W2" s="25"/>
      <c r="X2" s="25"/>
    </row>
    <row r="3" spans="2:24" x14ac:dyDescent="0.25">
      <c r="B3" s="23"/>
      <c r="C3" s="23"/>
      <c r="D3" s="23"/>
      <c r="E3" s="23"/>
      <c r="F3" s="23"/>
      <c r="G3" s="23"/>
      <c r="H3" s="23"/>
      <c r="I3" s="23"/>
      <c r="J3" s="23"/>
      <c r="K3" s="23"/>
      <c r="L3" s="23"/>
      <c r="M3" s="23"/>
      <c r="N3" s="23"/>
      <c r="O3" s="23"/>
      <c r="P3" s="23"/>
      <c r="Q3" s="23"/>
      <c r="R3" s="25"/>
      <c r="S3" s="25"/>
      <c r="T3" s="25"/>
      <c r="U3" s="25"/>
      <c r="V3" s="25"/>
      <c r="W3" s="25"/>
      <c r="X3" s="25"/>
    </row>
    <row r="4" spans="2:24" x14ac:dyDescent="0.25">
      <c r="B4" s="23"/>
      <c r="C4" s="23"/>
      <c r="D4" s="23"/>
      <c r="E4" s="23"/>
      <c r="F4" s="23"/>
      <c r="G4" s="23"/>
      <c r="H4" s="23"/>
      <c r="I4" s="23"/>
      <c r="J4" s="23"/>
      <c r="K4" s="23"/>
      <c r="L4" s="23"/>
      <c r="M4" s="23"/>
      <c r="N4" s="23"/>
      <c r="O4" s="23"/>
      <c r="P4" s="23"/>
      <c r="Q4" s="23"/>
      <c r="R4" s="25"/>
      <c r="S4" s="25"/>
      <c r="T4" s="25"/>
      <c r="U4" s="25"/>
      <c r="V4" s="25"/>
      <c r="W4" s="25"/>
      <c r="X4" s="25"/>
    </row>
    <row r="5" spans="2:24" x14ac:dyDescent="0.25">
      <c r="B5" s="23"/>
      <c r="C5" s="23"/>
      <c r="D5" s="23"/>
      <c r="E5" s="23"/>
      <c r="F5" s="23"/>
      <c r="G5" s="23"/>
      <c r="H5" s="23"/>
      <c r="I5" s="23"/>
      <c r="J5" s="23"/>
      <c r="K5" s="23"/>
      <c r="L5" s="23"/>
      <c r="M5" s="23"/>
      <c r="N5" s="23"/>
      <c r="O5" s="23"/>
      <c r="P5" s="23"/>
      <c r="Q5" s="23"/>
      <c r="R5" s="25"/>
      <c r="S5" s="25"/>
      <c r="T5" s="25"/>
      <c r="U5" s="25"/>
      <c r="V5" s="25"/>
      <c r="W5" s="25"/>
      <c r="X5" s="25"/>
    </row>
    <row r="6" spans="2:24" ht="18.75" x14ac:dyDescent="0.25">
      <c r="B6" s="23"/>
      <c r="C6" s="23"/>
      <c r="D6" s="23"/>
      <c r="E6" s="23"/>
      <c r="F6" s="23"/>
      <c r="G6" s="23"/>
      <c r="H6" s="23"/>
      <c r="I6" s="23"/>
      <c r="J6" s="23"/>
      <c r="K6" s="23"/>
      <c r="L6" s="23"/>
      <c r="M6" s="41" t="s">
        <v>0</v>
      </c>
      <c r="N6" s="23"/>
      <c r="O6" s="23"/>
      <c r="P6" s="23"/>
      <c r="Q6" s="23"/>
      <c r="R6" s="25"/>
      <c r="S6" s="25"/>
      <c r="T6" s="25"/>
      <c r="U6" s="25"/>
      <c r="V6" s="25"/>
      <c r="W6" s="25"/>
      <c r="X6" s="25"/>
    </row>
    <row r="7" spans="2:24" ht="18.75" x14ac:dyDescent="0.3">
      <c r="B7" s="23"/>
      <c r="C7" s="23"/>
      <c r="D7" s="23"/>
      <c r="E7" s="23"/>
      <c r="F7" s="23"/>
      <c r="G7" s="23"/>
      <c r="H7" s="23"/>
      <c r="I7" s="23"/>
      <c r="J7" s="23"/>
      <c r="K7" s="23"/>
      <c r="L7" s="23"/>
      <c r="M7" s="1" t="s">
        <v>1</v>
      </c>
      <c r="N7" s="1"/>
      <c r="O7" s="1"/>
      <c r="P7" s="23"/>
      <c r="Q7" s="23"/>
      <c r="R7" s="25"/>
      <c r="S7" s="25"/>
      <c r="T7" s="25"/>
      <c r="U7" s="25"/>
      <c r="V7" s="25"/>
      <c r="W7" s="25"/>
      <c r="X7" s="25"/>
    </row>
    <row r="8" spans="2:24" ht="28.5" x14ac:dyDescent="0.45">
      <c r="B8" s="23"/>
      <c r="C8" s="23"/>
      <c r="D8" s="23"/>
      <c r="E8" s="23"/>
      <c r="F8" s="12"/>
      <c r="G8" s="12"/>
      <c r="H8" s="12"/>
      <c r="I8" s="12"/>
      <c r="J8" s="12"/>
      <c r="K8" s="12"/>
      <c r="L8" s="23"/>
      <c r="M8" s="23"/>
      <c r="N8" s="23"/>
      <c r="O8" s="23"/>
      <c r="P8" s="23"/>
      <c r="Q8" s="23"/>
      <c r="R8" s="25"/>
      <c r="S8" s="25"/>
      <c r="T8" s="25"/>
      <c r="U8" s="25"/>
      <c r="V8" s="25"/>
      <c r="W8" s="25"/>
      <c r="X8" s="25"/>
    </row>
    <row r="9" spans="2:24" ht="18.75" x14ac:dyDescent="0.25">
      <c r="B9" s="23"/>
      <c r="C9" s="32" t="s">
        <v>2</v>
      </c>
      <c r="D9" s="31"/>
      <c r="E9" s="31"/>
      <c r="F9" s="31"/>
      <c r="G9" s="31"/>
      <c r="H9" s="51" t="str">
        <f>Model!A1</f>
        <v>Netflix, Inc.</v>
      </c>
      <c r="I9" s="31"/>
      <c r="J9" s="31"/>
      <c r="K9" s="31"/>
      <c r="L9" s="31"/>
      <c r="M9" s="32" t="s">
        <v>3</v>
      </c>
      <c r="N9" s="31"/>
      <c r="O9" s="31"/>
      <c r="P9" s="11"/>
      <c r="Q9" s="23"/>
      <c r="R9" s="25"/>
      <c r="S9" s="25"/>
      <c r="T9" s="25"/>
      <c r="U9" s="25"/>
      <c r="V9" s="25"/>
      <c r="W9" s="25"/>
      <c r="X9" s="25"/>
    </row>
    <row r="10" spans="2:24" ht="18.75" x14ac:dyDescent="0.3">
      <c r="B10" s="23"/>
      <c r="C10" s="29"/>
      <c r="D10" s="23"/>
      <c r="E10" s="23"/>
      <c r="F10" s="23"/>
      <c r="G10" s="23"/>
      <c r="H10" s="23"/>
      <c r="I10" s="23"/>
      <c r="J10" s="23"/>
      <c r="K10" s="23"/>
      <c r="L10" s="23"/>
      <c r="M10" s="23"/>
      <c r="N10" s="23"/>
      <c r="O10" s="23"/>
      <c r="P10" s="11"/>
      <c r="Q10" s="23"/>
      <c r="R10" s="25"/>
      <c r="S10" s="25"/>
      <c r="T10" s="25"/>
      <c r="U10" s="25"/>
      <c r="V10" s="25"/>
      <c r="W10" s="25"/>
      <c r="X10" s="25"/>
    </row>
    <row r="11" spans="2:24" ht="18.75" x14ac:dyDescent="0.25">
      <c r="B11" s="23"/>
      <c r="C11" s="32" t="s">
        <v>4</v>
      </c>
      <c r="D11" s="23"/>
      <c r="E11" s="23"/>
      <c r="F11" s="23"/>
      <c r="G11" s="23"/>
      <c r="H11" s="33">
        <f ca="1">OFFSET('Update Log'!$C$10,1,0,1,1)</f>
        <v>44490</v>
      </c>
      <c r="I11" s="23"/>
      <c r="J11" s="23"/>
      <c r="K11" s="23"/>
      <c r="L11" s="23"/>
      <c r="M11" s="23"/>
      <c r="N11" s="23"/>
      <c r="O11" s="23"/>
      <c r="P11" s="11"/>
      <c r="Q11" s="23"/>
      <c r="R11" s="25"/>
      <c r="S11" s="25"/>
      <c r="T11" s="25"/>
      <c r="U11" s="25"/>
      <c r="V11" s="25"/>
      <c r="W11" s="25"/>
      <c r="X11" s="25"/>
    </row>
    <row r="12" spans="2:24" ht="18.75" x14ac:dyDescent="0.3">
      <c r="B12" s="23"/>
      <c r="C12" s="23"/>
      <c r="D12" s="23"/>
      <c r="E12" s="23"/>
      <c r="F12" s="23"/>
      <c r="G12" s="23"/>
      <c r="H12" s="34"/>
      <c r="I12" s="23"/>
      <c r="J12" s="23"/>
      <c r="K12" s="23"/>
      <c r="L12" s="23"/>
      <c r="M12" s="23"/>
      <c r="N12" s="23"/>
      <c r="O12" s="23"/>
      <c r="P12" s="11"/>
      <c r="Q12" s="23"/>
      <c r="R12" s="25"/>
      <c r="S12" s="25"/>
      <c r="T12" s="25"/>
      <c r="U12" s="25"/>
      <c r="V12" s="25"/>
      <c r="W12" s="25"/>
      <c r="X12" s="25"/>
    </row>
    <row r="13" spans="2:24" ht="18.75" x14ac:dyDescent="0.25">
      <c r="B13" s="23"/>
      <c r="C13" s="32" t="s">
        <v>5</v>
      </c>
      <c r="D13" s="23"/>
      <c r="E13" s="23"/>
      <c r="F13" s="23"/>
      <c r="G13" s="23"/>
      <c r="H13" s="52" t="str">
        <f ca="1">OFFSET('Update Log'!$E$10,1,0,1,1)</f>
        <v>Quarterly (Earnings Report)</v>
      </c>
      <c r="I13" s="23"/>
      <c r="J13" s="23"/>
      <c r="K13" s="23"/>
      <c r="L13" s="23"/>
      <c r="M13" s="23"/>
      <c r="N13" s="23"/>
      <c r="O13" s="23"/>
      <c r="P13" s="11"/>
      <c r="Q13" s="23"/>
      <c r="R13" s="25"/>
      <c r="S13" s="25"/>
      <c r="T13" s="25"/>
      <c r="U13" s="25"/>
      <c r="V13" s="25"/>
      <c r="W13" s="25"/>
      <c r="X13" s="25"/>
    </row>
    <row r="14" spans="2:24" x14ac:dyDescent="0.25">
      <c r="B14" s="23"/>
      <c r="C14" s="23"/>
      <c r="D14" s="23"/>
      <c r="E14" s="23"/>
      <c r="F14" s="23"/>
      <c r="G14" s="23"/>
      <c r="H14" s="23"/>
      <c r="I14" s="23"/>
      <c r="J14" s="23"/>
      <c r="K14" s="23"/>
      <c r="L14" s="23"/>
      <c r="M14" s="23"/>
      <c r="N14" s="23"/>
      <c r="O14" s="23"/>
      <c r="P14" s="11"/>
      <c r="Q14" s="23"/>
      <c r="R14" s="25"/>
      <c r="S14" s="25"/>
      <c r="T14" s="25"/>
      <c r="U14" s="25"/>
      <c r="V14" s="25"/>
      <c r="W14" s="25"/>
      <c r="X14" s="25"/>
    </row>
    <row r="15" spans="2:24" ht="18.75" customHeight="1" x14ac:dyDescent="0.25">
      <c r="B15" s="23"/>
      <c r="C15" s="32" t="s">
        <v>6</v>
      </c>
      <c r="D15" s="31"/>
      <c r="E15" s="31"/>
      <c r="F15" s="31"/>
      <c r="G15" s="31"/>
      <c r="H15" s="30" t="s">
        <v>7</v>
      </c>
      <c r="I15" s="23"/>
      <c r="J15" s="27"/>
      <c r="K15" s="23"/>
      <c r="L15" s="23"/>
      <c r="M15" s="26"/>
      <c r="N15" s="23"/>
      <c r="O15" s="23"/>
      <c r="P15" s="11"/>
      <c r="Q15" s="23"/>
      <c r="R15" s="25"/>
      <c r="S15" s="25"/>
      <c r="T15" s="25"/>
      <c r="U15" s="25"/>
      <c r="V15" s="25"/>
      <c r="W15" s="25"/>
      <c r="X15" s="25"/>
    </row>
    <row r="16" spans="2:24" ht="15" customHeight="1" x14ac:dyDescent="0.25">
      <c r="B16" s="23"/>
      <c r="C16" s="53"/>
      <c r="D16" s="26"/>
      <c r="E16" s="26"/>
      <c r="F16" s="26"/>
      <c r="G16" s="26"/>
      <c r="H16" s="143">
        <f>IF(FP.DataSourceName="Bloomberg",1,IF(FP.DataSourceName="Capital IQ",2,IF(FP.DataSourceName="FactSet",3,IF(FP.DataSourceName="Refinitiv",4))))</f>
        <v>1</v>
      </c>
      <c r="I16" s="28"/>
      <c r="J16" s="27"/>
      <c r="K16" s="23"/>
      <c r="L16" s="23"/>
      <c r="M16" s="26"/>
      <c r="N16" s="23"/>
      <c r="O16" s="23"/>
      <c r="P16" s="11"/>
      <c r="Q16" s="23"/>
      <c r="R16" s="25"/>
      <c r="S16" s="25"/>
      <c r="T16" s="25"/>
      <c r="U16" s="25"/>
      <c r="V16" s="25"/>
      <c r="X16" s="25"/>
    </row>
    <row r="17" spans="2:24" s="141" customFormat="1" ht="18.75" x14ac:dyDescent="0.3">
      <c r="B17" s="26"/>
      <c r="C17" s="29"/>
      <c r="D17" s="26"/>
      <c r="E17" s="26"/>
      <c r="F17" s="26"/>
      <c r="G17" s="26"/>
      <c r="H17" s="26"/>
      <c r="I17" s="28"/>
      <c r="J17" s="27"/>
      <c r="K17" s="23"/>
      <c r="L17" s="23"/>
      <c r="M17" s="23"/>
      <c r="N17" s="26"/>
      <c r="O17" s="26"/>
      <c r="P17" s="139"/>
      <c r="Q17" s="26"/>
      <c r="R17" s="140"/>
      <c r="S17" s="140"/>
      <c r="T17" s="140"/>
      <c r="U17" s="140"/>
      <c r="V17" s="140"/>
      <c r="W17" s="25"/>
      <c r="X17" s="140"/>
    </row>
    <row r="18" spans="2:24" s="141" customFormat="1" ht="18.75" customHeight="1" x14ac:dyDescent="0.25">
      <c r="B18" s="26"/>
      <c r="C18" s="32" t="s">
        <v>8</v>
      </c>
      <c r="D18" s="31"/>
      <c r="E18" s="31"/>
      <c r="F18" s="31"/>
      <c r="G18" s="31"/>
      <c r="H18" s="30" t="s">
        <v>574</v>
      </c>
      <c r="I18" s="54"/>
      <c r="J18" s="54"/>
      <c r="K18" s="23"/>
      <c r="L18" s="23"/>
      <c r="M18" s="23"/>
      <c r="N18" s="26"/>
      <c r="O18" s="26"/>
      <c r="P18" s="139"/>
      <c r="Q18" s="26"/>
      <c r="R18" s="140"/>
      <c r="S18" s="140"/>
      <c r="T18" s="140"/>
      <c r="U18" s="140"/>
      <c r="V18" s="140"/>
      <c r="W18" s="25"/>
      <c r="X18" s="140"/>
    </row>
    <row r="19" spans="2:24" s="141" customFormat="1" x14ac:dyDescent="0.25">
      <c r="B19" s="26"/>
      <c r="C19" s="53"/>
      <c r="D19" s="26"/>
      <c r="E19" s="26"/>
      <c r="F19" s="26"/>
      <c r="G19" s="26"/>
      <c r="H19" s="26"/>
      <c r="I19" s="28"/>
      <c r="J19" s="27"/>
      <c r="K19" s="23"/>
      <c r="L19" s="23"/>
      <c r="M19" s="23"/>
      <c r="N19" s="26"/>
      <c r="O19" s="26"/>
      <c r="P19" s="139"/>
      <c r="Q19" s="26"/>
      <c r="R19" s="140"/>
      <c r="S19" s="140"/>
      <c r="T19" s="140"/>
      <c r="U19" s="140"/>
      <c r="V19" s="140"/>
      <c r="W19" s="25"/>
      <c r="X19" s="140"/>
    </row>
    <row r="20" spans="2:24" s="141" customFormat="1" ht="18.75" customHeight="1" x14ac:dyDescent="0.3">
      <c r="B20" s="26"/>
      <c r="C20" s="55" t="s">
        <v>9</v>
      </c>
      <c r="D20" s="26"/>
      <c r="E20" s="26"/>
      <c r="F20" s="631">
        <v>44567</v>
      </c>
      <c r="G20" s="26"/>
      <c r="H20" s="448">
        <v>553.29</v>
      </c>
      <c r="I20" s="28"/>
      <c r="J20" s="27"/>
      <c r="K20" s="23"/>
      <c r="L20" s="23"/>
      <c r="M20" s="23"/>
      <c r="N20" s="26"/>
      <c r="O20" s="26"/>
      <c r="P20" s="139"/>
      <c r="Q20" s="26"/>
      <c r="R20" s="140"/>
      <c r="S20" s="140"/>
      <c r="T20" s="140"/>
      <c r="U20" s="140"/>
      <c r="V20" s="140"/>
      <c r="W20" s="25"/>
      <c r="X20" s="140"/>
    </row>
    <row r="21" spans="2:24" s="141" customFormat="1" x14ac:dyDescent="0.25">
      <c r="B21" s="26"/>
      <c r="C21" s="26"/>
      <c r="D21" s="23"/>
      <c r="E21" s="23"/>
      <c r="F21" s="23"/>
      <c r="G21" s="23"/>
      <c r="H21" s="23"/>
      <c r="I21" s="23"/>
      <c r="J21" s="23"/>
      <c r="K21" s="23"/>
      <c r="L21" s="23"/>
      <c r="M21" s="23"/>
      <c r="N21" s="26"/>
      <c r="O21" s="26"/>
      <c r="P21" s="26"/>
      <c r="Q21" s="26"/>
      <c r="R21" s="140"/>
      <c r="S21" s="140"/>
      <c r="T21" s="140"/>
      <c r="U21" s="140"/>
      <c r="V21" s="140"/>
      <c r="W21" s="140"/>
      <c r="X21" s="140"/>
    </row>
    <row r="22" spans="2:24" ht="15.95" customHeight="1" x14ac:dyDescent="0.25">
      <c r="B22" s="23"/>
      <c r="C22" s="10" t="s">
        <v>406</v>
      </c>
      <c r="D22" s="9"/>
      <c r="E22" s="9"/>
      <c r="F22" s="9"/>
      <c r="G22" s="9"/>
      <c r="H22" s="9"/>
      <c r="I22" s="9"/>
      <c r="J22" s="9"/>
      <c r="K22" s="9"/>
      <c r="L22" s="9"/>
      <c r="M22" s="9"/>
      <c r="N22" s="9"/>
      <c r="O22" s="9"/>
      <c r="P22" s="8"/>
      <c r="Q22" s="23"/>
      <c r="R22" s="25"/>
      <c r="S22" s="25"/>
      <c r="T22" s="25"/>
      <c r="U22" s="25"/>
      <c r="V22" s="25"/>
      <c r="W22" s="25"/>
      <c r="X22" s="25"/>
    </row>
    <row r="23" spans="2:24" ht="15.95" customHeight="1" x14ac:dyDescent="0.25">
      <c r="B23" s="23"/>
      <c r="C23" s="7"/>
      <c r="D23" s="6"/>
      <c r="E23" s="6"/>
      <c r="F23" s="6"/>
      <c r="G23" s="6"/>
      <c r="H23" s="6"/>
      <c r="I23" s="6"/>
      <c r="J23" s="6"/>
      <c r="K23" s="6"/>
      <c r="L23" s="6"/>
      <c r="M23" s="6"/>
      <c r="N23" s="6"/>
      <c r="O23" s="6"/>
      <c r="P23" s="5"/>
      <c r="Q23" s="23"/>
      <c r="R23" s="25"/>
      <c r="S23" s="25"/>
      <c r="T23" s="25"/>
      <c r="U23" s="25"/>
      <c r="V23" s="25"/>
      <c r="W23" s="25"/>
      <c r="X23" s="25"/>
    </row>
    <row r="24" spans="2:24" ht="15.95" customHeight="1" x14ac:dyDescent="0.25">
      <c r="B24" s="23"/>
      <c r="C24" s="7"/>
      <c r="D24" s="6"/>
      <c r="E24" s="6"/>
      <c r="F24" s="6"/>
      <c r="G24" s="6"/>
      <c r="H24" s="6"/>
      <c r="I24" s="6"/>
      <c r="J24" s="6"/>
      <c r="K24" s="6"/>
      <c r="L24" s="6"/>
      <c r="M24" s="6"/>
      <c r="N24" s="6"/>
      <c r="O24" s="6"/>
      <c r="P24" s="5"/>
      <c r="Q24" s="23"/>
      <c r="R24" s="25"/>
      <c r="S24" s="25"/>
      <c r="T24" s="25"/>
      <c r="U24" s="25"/>
      <c r="V24" s="25"/>
      <c r="W24" s="25"/>
      <c r="X24" s="25"/>
    </row>
    <row r="25" spans="2:24" ht="15.95" customHeight="1" x14ac:dyDescent="0.25">
      <c r="B25" s="23"/>
      <c r="C25" s="7"/>
      <c r="D25" s="6"/>
      <c r="E25" s="6"/>
      <c r="F25" s="6"/>
      <c r="G25" s="6"/>
      <c r="H25" s="6"/>
      <c r="I25" s="6"/>
      <c r="J25" s="6"/>
      <c r="K25" s="6"/>
      <c r="L25" s="6"/>
      <c r="M25" s="6"/>
      <c r="N25" s="6"/>
      <c r="O25" s="6"/>
      <c r="P25" s="5"/>
      <c r="Q25" s="23"/>
      <c r="R25" s="25"/>
      <c r="S25" s="25"/>
      <c r="T25" s="25"/>
      <c r="U25" s="25"/>
      <c r="V25" s="25"/>
      <c r="W25" s="25"/>
      <c r="X25" s="25"/>
    </row>
    <row r="26" spans="2:24" ht="15.95" customHeight="1" x14ac:dyDescent="0.25">
      <c r="B26" s="23"/>
      <c r="C26" s="7"/>
      <c r="D26" s="6"/>
      <c r="E26" s="6"/>
      <c r="F26" s="6"/>
      <c r="G26" s="6"/>
      <c r="H26" s="6"/>
      <c r="I26" s="6"/>
      <c r="J26" s="6"/>
      <c r="K26" s="6"/>
      <c r="L26" s="6"/>
      <c r="M26" s="6"/>
      <c r="N26" s="6"/>
      <c r="O26" s="6"/>
      <c r="P26" s="5"/>
      <c r="Q26" s="23"/>
      <c r="R26" s="25"/>
      <c r="S26" s="25"/>
      <c r="T26" s="25"/>
      <c r="U26" s="25"/>
      <c r="V26" s="25"/>
      <c r="W26" s="25"/>
      <c r="X26" s="25"/>
    </row>
    <row r="27" spans="2:24" ht="15.95" customHeight="1" x14ac:dyDescent="0.25">
      <c r="B27" s="23"/>
      <c r="C27" s="7"/>
      <c r="D27" s="6"/>
      <c r="E27" s="6"/>
      <c r="F27" s="6"/>
      <c r="G27" s="6"/>
      <c r="H27" s="6"/>
      <c r="I27" s="6"/>
      <c r="J27" s="6"/>
      <c r="K27" s="6"/>
      <c r="L27" s="6"/>
      <c r="M27" s="6"/>
      <c r="N27" s="6"/>
      <c r="O27" s="6"/>
      <c r="P27" s="5"/>
      <c r="Q27" s="23"/>
      <c r="R27" s="25"/>
      <c r="S27" s="25"/>
      <c r="T27" s="25"/>
      <c r="U27" s="25"/>
      <c r="V27" s="25"/>
      <c r="W27" s="25"/>
      <c r="X27" s="25"/>
    </row>
    <row r="28" spans="2:24" ht="15.95" customHeight="1" x14ac:dyDescent="0.25">
      <c r="B28" s="23"/>
      <c r="C28" s="7"/>
      <c r="D28" s="6"/>
      <c r="E28" s="6"/>
      <c r="F28" s="6"/>
      <c r="G28" s="6"/>
      <c r="H28" s="6"/>
      <c r="I28" s="6"/>
      <c r="J28" s="6"/>
      <c r="K28" s="6"/>
      <c r="L28" s="6"/>
      <c r="M28" s="6"/>
      <c r="N28" s="6"/>
      <c r="O28" s="6"/>
      <c r="P28" s="5"/>
      <c r="Q28" s="23"/>
      <c r="R28" s="25"/>
      <c r="S28" s="25"/>
      <c r="T28" s="25"/>
      <c r="U28" s="25"/>
      <c r="V28" s="25"/>
      <c r="W28" s="25"/>
      <c r="X28" s="25"/>
    </row>
    <row r="29" spans="2:24" ht="15.95" customHeight="1" x14ac:dyDescent="0.25">
      <c r="B29" s="23"/>
      <c r="C29" s="7"/>
      <c r="D29" s="6"/>
      <c r="E29" s="6"/>
      <c r="F29" s="6"/>
      <c r="G29" s="6"/>
      <c r="H29" s="6"/>
      <c r="I29" s="6"/>
      <c r="J29" s="6"/>
      <c r="K29" s="6"/>
      <c r="L29" s="6"/>
      <c r="M29" s="6"/>
      <c r="N29" s="6"/>
      <c r="O29" s="6"/>
      <c r="P29" s="5"/>
      <c r="Q29" s="23"/>
      <c r="R29" s="25"/>
      <c r="S29" s="25"/>
      <c r="T29" s="25"/>
      <c r="U29" s="25"/>
      <c r="V29" s="25"/>
      <c r="W29" s="25"/>
      <c r="X29" s="25"/>
    </row>
    <row r="30" spans="2:24" ht="15.95" customHeight="1" x14ac:dyDescent="0.25">
      <c r="B30" s="23"/>
      <c r="C30" s="7"/>
      <c r="D30" s="6"/>
      <c r="E30" s="6"/>
      <c r="F30" s="6"/>
      <c r="G30" s="6"/>
      <c r="H30" s="6"/>
      <c r="I30" s="6"/>
      <c r="J30" s="6"/>
      <c r="K30" s="6"/>
      <c r="L30" s="6"/>
      <c r="M30" s="6"/>
      <c r="N30" s="6"/>
      <c r="O30" s="6"/>
      <c r="P30" s="5"/>
      <c r="Q30" s="23"/>
      <c r="R30" s="25"/>
      <c r="S30" s="25"/>
      <c r="T30" s="25"/>
      <c r="U30" s="25"/>
      <c r="V30" s="25"/>
      <c r="W30" s="25"/>
      <c r="X30" s="25"/>
    </row>
    <row r="31" spans="2:24" ht="15.95" customHeight="1" x14ac:dyDescent="0.25">
      <c r="B31" s="23"/>
      <c r="C31" s="7"/>
      <c r="D31" s="6"/>
      <c r="E31" s="6"/>
      <c r="F31" s="6"/>
      <c r="G31" s="6"/>
      <c r="H31" s="6"/>
      <c r="I31" s="6"/>
      <c r="J31" s="6"/>
      <c r="K31" s="6"/>
      <c r="L31" s="6"/>
      <c r="M31" s="6"/>
      <c r="N31" s="6"/>
      <c r="O31" s="6"/>
      <c r="P31" s="5"/>
      <c r="Q31" s="23"/>
      <c r="S31" s="25"/>
      <c r="T31" s="25"/>
      <c r="U31" s="25"/>
      <c r="V31" s="25"/>
      <c r="W31" s="25"/>
      <c r="X31" s="25"/>
    </row>
    <row r="32" spans="2:24" ht="15.95" customHeight="1" x14ac:dyDescent="0.25">
      <c r="B32" s="23"/>
      <c r="C32" s="7"/>
      <c r="D32" s="6"/>
      <c r="E32" s="6"/>
      <c r="F32" s="6"/>
      <c r="G32" s="6"/>
      <c r="H32" s="6"/>
      <c r="I32" s="6"/>
      <c r="J32" s="6"/>
      <c r="K32" s="6"/>
      <c r="L32" s="6"/>
      <c r="M32" s="6"/>
      <c r="N32" s="6"/>
      <c r="O32" s="6"/>
      <c r="P32" s="5"/>
      <c r="Q32" s="23"/>
      <c r="S32" s="25"/>
      <c r="T32" s="25"/>
      <c r="U32" s="25"/>
      <c r="V32" s="25"/>
      <c r="W32" s="25"/>
      <c r="X32" s="25"/>
    </row>
    <row r="33" spans="2:24" ht="15.95" customHeight="1" x14ac:dyDescent="0.25">
      <c r="B33" s="23"/>
      <c r="C33" s="7"/>
      <c r="D33" s="6"/>
      <c r="E33" s="6"/>
      <c r="F33" s="6"/>
      <c r="G33" s="6"/>
      <c r="H33" s="6"/>
      <c r="I33" s="6"/>
      <c r="J33" s="6"/>
      <c r="K33" s="6"/>
      <c r="L33" s="6"/>
      <c r="M33" s="6"/>
      <c r="N33" s="6"/>
      <c r="O33" s="6"/>
      <c r="P33" s="5"/>
      <c r="Q33" s="23"/>
      <c r="R33" s="25"/>
      <c r="S33" s="25"/>
      <c r="T33" s="25"/>
      <c r="U33" s="25"/>
      <c r="V33" s="25"/>
      <c r="W33" s="25"/>
      <c r="X33" s="25"/>
    </row>
    <row r="34" spans="2:24" ht="15.95" customHeight="1" x14ac:dyDescent="0.25">
      <c r="B34" s="23"/>
      <c r="C34" s="7"/>
      <c r="D34" s="6"/>
      <c r="E34" s="6"/>
      <c r="F34" s="6"/>
      <c r="G34" s="6"/>
      <c r="H34" s="6"/>
      <c r="I34" s="6"/>
      <c r="J34" s="6"/>
      <c r="K34" s="6"/>
      <c r="L34" s="6"/>
      <c r="M34" s="6"/>
      <c r="N34" s="6"/>
      <c r="O34" s="6"/>
      <c r="P34" s="5"/>
      <c r="Q34" s="23"/>
      <c r="R34" s="25"/>
      <c r="S34" s="25"/>
      <c r="T34" s="25"/>
      <c r="U34" s="25"/>
      <c r="V34" s="25"/>
      <c r="W34" s="25"/>
      <c r="X34" s="25"/>
    </row>
    <row r="35" spans="2:24" ht="15.95" customHeight="1" x14ac:dyDescent="0.25">
      <c r="B35" s="23"/>
      <c r="C35" s="7"/>
      <c r="D35" s="6"/>
      <c r="E35" s="6"/>
      <c r="F35" s="6"/>
      <c r="G35" s="6"/>
      <c r="H35" s="6"/>
      <c r="I35" s="6"/>
      <c r="J35" s="6"/>
      <c r="K35" s="6"/>
      <c r="L35" s="6"/>
      <c r="M35" s="6"/>
      <c r="N35" s="6"/>
      <c r="O35" s="6"/>
      <c r="P35" s="5"/>
      <c r="Q35" s="23"/>
      <c r="R35" s="25"/>
      <c r="S35" s="25"/>
      <c r="T35" s="25"/>
      <c r="U35" s="25"/>
      <c r="V35" s="25"/>
      <c r="W35" s="25"/>
      <c r="X35" s="25"/>
    </row>
    <row r="36" spans="2:24" ht="15.95" customHeight="1" x14ac:dyDescent="0.25">
      <c r="B36" s="23"/>
      <c r="C36" s="7"/>
      <c r="D36" s="6"/>
      <c r="E36" s="6"/>
      <c r="F36" s="6"/>
      <c r="G36" s="6"/>
      <c r="H36" s="6"/>
      <c r="I36" s="6"/>
      <c r="J36" s="6"/>
      <c r="K36" s="6"/>
      <c r="L36" s="6"/>
      <c r="M36" s="6"/>
      <c r="N36" s="6"/>
      <c r="O36" s="6"/>
      <c r="P36" s="5"/>
      <c r="Q36" s="23"/>
      <c r="R36" s="25"/>
      <c r="S36" s="25"/>
      <c r="T36" s="25"/>
      <c r="U36" s="25"/>
      <c r="V36" s="25"/>
      <c r="W36" s="25"/>
      <c r="X36" s="25"/>
    </row>
    <row r="37" spans="2:24" ht="15.95" customHeight="1" x14ac:dyDescent="0.25">
      <c r="B37" s="23"/>
      <c r="C37" s="7"/>
      <c r="D37" s="6"/>
      <c r="E37" s="6"/>
      <c r="F37" s="6"/>
      <c r="G37" s="6"/>
      <c r="H37" s="6"/>
      <c r="I37" s="6"/>
      <c r="J37" s="6"/>
      <c r="K37" s="6"/>
      <c r="L37" s="6"/>
      <c r="M37" s="6"/>
      <c r="N37" s="6"/>
      <c r="O37" s="6"/>
      <c r="P37" s="5"/>
      <c r="Q37" s="23"/>
      <c r="R37" s="25"/>
      <c r="S37" s="25"/>
      <c r="T37" s="25"/>
      <c r="U37" s="25"/>
      <c r="V37" s="25"/>
      <c r="W37" s="25"/>
      <c r="X37" s="25"/>
    </row>
    <row r="38" spans="2:24" ht="15.95" customHeight="1" x14ac:dyDescent="0.25">
      <c r="B38" s="23"/>
      <c r="C38" s="7"/>
      <c r="D38" s="6"/>
      <c r="E38" s="6"/>
      <c r="F38" s="6"/>
      <c r="G38" s="6"/>
      <c r="H38" s="6"/>
      <c r="I38" s="6"/>
      <c r="J38" s="6"/>
      <c r="K38" s="6"/>
      <c r="L38" s="6"/>
      <c r="M38" s="6"/>
      <c r="N38" s="6"/>
      <c r="O38" s="6"/>
      <c r="P38" s="5"/>
      <c r="Q38" s="23"/>
      <c r="R38" s="25"/>
      <c r="S38" s="25"/>
      <c r="T38" s="25"/>
      <c r="U38" s="25"/>
      <c r="V38" s="25"/>
      <c r="W38" s="25"/>
      <c r="X38" s="25"/>
    </row>
    <row r="39" spans="2:24" ht="15.95" customHeight="1" x14ac:dyDescent="0.25">
      <c r="B39" s="23"/>
      <c r="C39" s="7"/>
      <c r="D39" s="6"/>
      <c r="E39" s="6"/>
      <c r="F39" s="6"/>
      <c r="G39" s="6"/>
      <c r="H39" s="6"/>
      <c r="I39" s="6"/>
      <c r="J39" s="6"/>
      <c r="K39" s="6"/>
      <c r="L39" s="6"/>
      <c r="M39" s="6"/>
      <c r="N39" s="6"/>
      <c r="O39" s="6"/>
      <c r="P39" s="5"/>
      <c r="Q39" s="23"/>
      <c r="R39" s="25"/>
      <c r="S39" s="25"/>
      <c r="T39" s="25"/>
      <c r="U39" s="25"/>
      <c r="V39" s="25"/>
      <c r="W39" s="25"/>
      <c r="X39" s="25"/>
    </row>
    <row r="40" spans="2:24" ht="15.95" customHeight="1" x14ac:dyDescent="0.25">
      <c r="B40" s="23"/>
      <c r="C40" s="7"/>
      <c r="D40" s="6"/>
      <c r="E40" s="6"/>
      <c r="F40" s="6"/>
      <c r="G40" s="6"/>
      <c r="H40" s="6"/>
      <c r="I40" s="6"/>
      <c r="J40" s="6"/>
      <c r="K40" s="6"/>
      <c r="L40" s="6"/>
      <c r="M40" s="6"/>
      <c r="N40" s="6"/>
      <c r="O40" s="6"/>
      <c r="P40" s="5"/>
      <c r="Q40" s="23"/>
      <c r="R40" s="25"/>
      <c r="S40" s="25"/>
      <c r="T40" s="25"/>
      <c r="U40" s="25"/>
      <c r="V40" s="25"/>
      <c r="W40" s="25"/>
      <c r="X40" s="25"/>
    </row>
    <row r="41" spans="2:24" ht="15.95" customHeight="1" x14ac:dyDescent="0.25">
      <c r="B41" s="23"/>
      <c r="C41" s="4"/>
      <c r="D41" s="3"/>
      <c r="E41" s="3"/>
      <c r="F41" s="3"/>
      <c r="G41" s="3"/>
      <c r="H41" s="3"/>
      <c r="I41" s="3"/>
      <c r="J41" s="3"/>
      <c r="K41" s="3"/>
      <c r="L41" s="3"/>
      <c r="M41" s="3"/>
      <c r="N41" s="3"/>
      <c r="O41" s="3"/>
      <c r="P41" s="2"/>
      <c r="Q41" s="23"/>
      <c r="R41" s="25"/>
      <c r="S41" s="25"/>
      <c r="T41" s="25"/>
      <c r="U41" s="25"/>
      <c r="V41" s="25"/>
      <c r="W41" s="25"/>
      <c r="X41" s="25"/>
    </row>
    <row r="42" spans="2:24" x14ac:dyDescent="0.25">
      <c r="B42" s="23"/>
      <c r="C42" s="23"/>
      <c r="D42" s="23"/>
      <c r="E42" s="23"/>
      <c r="F42" s="23"/>
      <c r="G42" s="23"/>
      <c r="H42" s="23"/>
      <c r="I42" s="23"/>
      <c r="J42" s="23"/>
      <c r="K42" s="23"/>
      <c r="L42" s="23"/>
      <c r="M42" s="23"/>
      <c r="N42" s="23"/>
      <c r="O42" s="23"/>
      <c r="P42" s="23"/>
      <c r="Q42" s="23"/>
      <c r="R42" s="25"/>
    </row>
    <row r="43" spans="2:24" x14ac:dyDescent="0.25">
      <c r="B43" s="21"/>
      <c r="C43" s="21"/>
      <c r="D43" s="21"/>
      <c r="E43" s="21"/>
      <c r="F43" s="21"/>
      <c r="G43" s="21"/>
      <c r="H43" s="21"/>
      <c r="I43" s="21"/>
      <c r="J43" s="21"/>
      <c r="K43" s="21"/>
      <c r="L43" s="21"/>
      <c r="M43" s="21"/>
      <c r="N43" s="21"/>
      <c r="O43" s="21"/>
    </row>
    <row r="44" spans="2:24" x14ac:dyDescent="0.25">
      <c r="B44" s="21"/>
      <c r="C44" s="21"/>
      <c r="D44" s="21"/>
      <c r="E44" s="21"/>
      <c r="F44" s="21"/>
      <c r="G44" s="21"/>
      <c r="H44" s="21"/>
      <c r="I44" s="21"/>
      <c r="J44" s="21"/>
      <c r="K44" s="21"/>
      <c r="L44" s="21"/>
      <c r="M44" s="21"/>
      <c r="N44" s="21"/>
      <c r="O44" s="21"/>
    </row>
    <row r="45" spans="2:24" x14ac:dyDescent="0.25">
      <c r="B45" s="21"/>
      <c r="C45" s="21"/>
      <c r="D45" s="21"/>
      <c r="E45" s="21"/>
      <c r="F45" s="21"/>
      <c r="G45" s="21"/>
      <c r="H45" s="21"/>
      <c r="I45" s="21"/>
      <c r="J45" s="21"/>
      <c r="K45" s="21"/>
      <c r="L45" s="21"/>
      <c r="M45" s="21"/>
      <c r="N45" s="21"/>
      <c r="O45" s="21"/>
    </row>
    <row r="46" spans="2:24" x14ac:dyDescent="0.25">
      <c r="B46" s="21"/>
      <c r="C46" s="21"/>
      <c r="D46" s="21"/>
      <c r="E46" s="21"/>
      <c r="F46" s="21"/>
      <c r="G46" s="21"/>
      <c r="H46" s="21"/>
      <c r="I46" s="21"/>
      <c r="J46" s="21"/>
      <c r="K46" s="21"/>
      <c r="L46" s="21"/>
      <c r="M46" s="21"/>
      <c r="N46" s="21"/>
      <c r="O46" s="21"/>
    </row>
    <row r="47" spans="2:24" x14ac:dyDescent="0.25">
      <c r="B47" s="21"/>
      <c r="C47" s="21"/>
      <c r="D47" s="21"/>
      <c r="E47" s="21"/>
      <c r="F47" s="21"/>
      <c r="G47" s="21"/>
      <c r="H47" s="21"/>
      <c r="I47" s="21"/>
      <c r="J47" s="21"/>
      <c r="K47" s="21"/>
      <c r="L47" s="21"/>
      <c r="M47" s="21"/>
      <c r="N47" s="21"/>
      <c r="O47" s="21"/>
    </row>
    <row r="48" spans="2:24" x14ac:dyDescent="0.25">
      <c r="B48" s="21"/>
      <c r="C48" s="21"/>
      <c r="D48" s="21"/>
      <c r="E48" s="21"/>
      <c r="F48" s="21"/>
      <c r="G48" s="21"/>
      <c r="H48" s="21"/>
      <c r="I48" s="21"/>
      <c r="J48" s="21"/>
      <c r="K48" s="21"/>
      <c r="L48" s="21"/>
      <c r="M48" s="21"/>
      <c r="N48" s="21"/>
      <c r="O48" s="21"/>
    </row>
    <row r="49" spans="2:15" x14ac:dyDescent="0.25">
      <c r="B49" s="21"/>
      <c r="C49" s="21"/>
      <c r="D49" s="21"/>
      <c r="E49" s="21"/>
      <c r="F49" s="21"/>
      <c r="G49" s="21"/>
      <c r="H49" s="21"/>
      <c r="I49" s="21"/>
      <c r="J49" s="21"/>
      <c r="K49" s="21"/>
      <c r="L49" s="21"/>
      <c r="M49" s="21"/>
      <c r="N49" s="21"/>
      <c r="O49" s="21"/>
    </row>
    <row r="50" spans="2:15" x14ac:dyDescent="0.25">
      <c r="B50" s="21"/>
      <c r="C50" s="21"/>
      <c r="D50" s="21"/>
      <c r="E50" s="21"/>
      <c r="F50" s="21"/>
      <c r="G50" s="21"/>
      <c r="H50" s="21"/>
      <c r="I50" s="21"/>
      <c r="J50" s="21"/>
      <c r="K50" s="21"/>
      <c r="L50" s="21"/>
      <c r="M50" s="21"/>
      <c r="N50" s="21"/>
      <c r="O50" s="21"/>
    </row>
    <row r="51" spans="2:15" x14ac:dyDescent="0.25">
      <c r="B51" s="21"/>
      <c r="C51" s="21"/>
      <c r="D51" s="21"/>
      <c r="E51" s="21"/>
      <c r="F51" s="21"/>
      <c r="G51" s="21"/>
      <c r="H51" s="21"/>
      <c r="I51" s="21"/>
      <c r="J51" s="21"/>
      <c r="K51" s="21"/>
      <c r="L51" s="21"/>
      <c r="M51" s="21"/>
      <c r="N51" s="21"/>
      <c r="O51" s="21"/>
    </row>
    <row r="52" spans="2:15" x14ac:dyDescent="0.25">
      <c r="B52" s="21"/>
      <c r="C52" s="21"/>
      <c r="D52" s="21"/>
      <c r="E52" s="21"/>
      <c r="F52" s="21"/>
      <c r="G52" s="21"/>
      <c r="H52" s="21"/>
      <c r="I52" s="21"/>
      <c r="J52" s="21"/>
      <c r="K52" s="21"/>
      <c r="L52" s="21"/>
      <c r="M52" s="21"/>
      <c r="N52" s="21"/>
      <c r="O52" s="21"/>
    </row>
    <row r="53" spans="2:15" x14ac:dyDescent="0.25">
      <c r="B53" s="21"/>
      <c r="C53" s="21"/>
      <c r="D53" s="21"/>
      <c r="E53" s="21"/>
      <c r="F53" s="21"/>
      <c r="G53" s="21"/>
      <c r="H53" s="21"/>
      <c r="I53" s="21"/>
      <c r="J53" s="21"/>
      <c r="K53" s="21"/>
      <c r="L53" s="21"/>
      <c r="M53" s="21"/>
      <c r="N53" s="21"/>
      <c r="O53" s="21"/>
    </row>
    <row r="54" spans="2:15" x14ac:dyDescent="0.25">
      <c r="B54" s="21"/>
      <c r="C54" s="21"/>
      <c r="D54" s="21"/>
      <c r="E54" s="21"/>
      <c r="F54" s="21"/>
      <c r="G54" s="21"/>
      <c r="H54" s="21"/>
      <c r="I54" s="21"/>
      <c r="J54" s="21"/>
      <c r="K54" s="21"/>
      <c r="L54" s="21"/>
      <c r="M54" s="21"/>
      <c r="N54" s="21"/>
      <c r="O54" s="21"/>
    </row>
    <row r="55" spans="2:15" x14ac:dyDescent="0.25">
      <c r="B55" s="21"/>
      <c r="C55" s="21"/>
      <c r="D55" s="21"/>
      <c r="E55" s="21"/>
      <c r="F55" s="21"/>
      <c r="G55" s="21"/>
      <c r="H55" s="21"/>
      <c r="I55" s="21"/>
      <c r="J55" s="21"/>
      <c r="K55" s="21"/>
      <c r="L55" s="21"/>
      <c r="M55" s="21"/>
      <c r="N55" s="21"/>
      <c r="O55" s="21"/>
    </row>
    <row r="56" spans="2:15" x14ac:dyDescent="0.25">
      <c r="B56" s="21"/>
      <c r="C56" s="21"/>
      <c r="D56" s="21"/>
      <c r="E56" s="21"/>
      <c r="F56" s="21"/>
      <c r="G56" s="21"/>
      <c r="H56" s="21"/>
      <c r="I56" s="21"/>
      <c r="J56" s="21"/>
      <c r="K56" s="21"/>
      <c r="L56" s="21"/>
      <c r="M56" s="21"/>
      <c r="N56" s="21"/>
      <c r="O56" s="21"/>
    </row>
    <row r="57" spans="2:15" x14ac:dyDescent="0.25">
      <c r="B57" s="21"/>
      <c r="C57" s="21"/>
      <c r="D57" s="21"/>
      <c r="E57" s="21"/>
      <c r="F57" s="21"/>
      <c r="G57" s="21"/>
      <c r="H57" s="21"/>
      <c r="I57" s="21"/>
      <c r="J57" s="21"/>
      <c r="K57" s="21"/>
      <c r="L57" s="21"/>
      <c r="M57" s="21"/>
      <c r="N57" s="21"/>
      <c r="O57" s="21"/>
    </row>
  </sheetData>
  <mergeCells count="4">
    <mergeCell ref="F8:K8"/>
    <mergeCell ref="P9:P16"/>
    <mergeCell ref="C22:P41"/>
    <mergeCell ref="M7:O7"/>
  </mergeCells>
  <conditionalFormatting sqref="C20:H20">
    <cfRule type="expression" dxfId="10" priority="2">
      <formula>AND(FP.RealTimeToggle="ON",MO.RealTime="ON")</formula>
    </cfRule>
  </conditionalFormatting>
  <dataValidations count="3">
    <dataValidation type="list" allowBlank="1" showInputMessage="1" showErrorMessage="1" sqref="H18" xr:uid="{00000000-0002-0000-0000-000000000000}">
      <formula1>"ON, OFF"</formula1>
    </dataValidation>
    <dataValidation allowBlank="1" showInputMessage="1" showErrorMessage="1" sqref="H16" xr:uid="{00000000-0002-0000-0000-000001000000}"/>
    <dataValidation type="list" allowBlank="1" showInputMessage="1" showErrorMessage="1" sqref="H15" xr:uid="{00000000-0002-0000-0000-000002000000}">
      <formula1>"Bloomberg, Capital IQ, FactSet, Refinitiv"</formula1>
    </dataValidation>
  </dataValidations>
  <hyperlinks>
    <hyperlink ref="M7" r:id="rId1" tooltip="Click to directly email Canalyst support" xr:uid="{00000000-0004-0000-0000-000000000000}"/>
    <hyperlink ref="M7:O7" r:id="rId2" tooltip="Click to directly email Canalyst support" display="support@canalyst.com" xr:uid="{00000000-0004-0000-0000-000001000000}"/>
  </hyperlinks>
  <pageMargins left="0.7" right="0.7" top="0.75" bottom="0.75" header="0.3" footer="0.3"/>
  <pageSetup scale="45" orientation="portrait"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BH814"/>
  <sheetViews>
    <sheetView zoomScale="85" zoomScaleNormal="85" workbookViewId="0">
      <pane xSplit="2" ySplit="5" topLeftCell="AO6" activePane="bottomRight" state="frozen"/>
      <selection pane="topRight" activeCell="C1" sqref="C1"/>
      <selection pane="bottomLeft" activeCell="A6" sqref="A6"/>
      <selection pane="bottomRight"/>
    </sheetView>
  </sheetViews>
  <sheetFormatPr defaultColWidth="10.7109375" defaultRowHeight="15" outlineLevelRow="2" outlineLevelCol="1" x14ac:dyDescent="0.25"/>
  <cols>
    <col min="1" max="1" width="60.85546875" customWidth="1"/>
    <col min="2" max="2" width="10.7109375" customWidth="1"/>
    <col min="4" max="6" width="10.7109375" bestFit="1" customWidth="1"/>
    <col min="7" max="10" width="10.7109375" hidden="1" customWidth="1" outlineLevel="1"/>
    <col min="11" max="11" width="10.7109375" bestFit="1" customWidth="1" collapsed="1"/>
    <col min="12" max="15" width="10.7109375" hidden="1" customWidth="1" outlineLevel="1"/>
    <col min="16" max="16" width="10.7109375" bestFit="1" customWidth="1" collapsed="1"/>
    <col min="17" max="20" width="10.7109375" hidden="1" customWidth="1" outlineLevel="1"/>
    <col min="21" max="21" width="11.7109375" bestFit="1" customWidth="1" collapsed="1"/>
    <col min="22" max="25" width="10.7109375" hidden="1" customWidth="1" outlineLevel="1"/>
    <col min="26" max="26" width="11.7109375" bestFit="1" customWidth="1" collapsed="1"/>
    <col min="27" max="30" width="10.7109375" hidden="1" customWidth="1" outlineLevel="1"/>
    <col min="31" max="31" width="11.7109375" bestFit="1" customWidth="1" collapsed="1"/>
    <col min="32" max="35" width="10.7109375" hidden="1" customWidth="1" outlineLevel="1"/>
    <col min="36" max="36" width="11.7109375" bestFit="1" customWidth="1" collapsed="1"/>
    <col min="37" max="40" width="10.7109375" hidden="1" customWidth="1" outlineLevel="1"/>
    <col min="41" max="41" width="10.7109375" customWidth="1" collapsed="1"/>
    <col min="42" max="45" width="10.7109375" customWidth="1" outlineLevel="1"/>
    <col min="46" max="46" width="11.7109375" bestFit="1" customWidth="1"/>
    <col min="47" max="50" width="10.7109375" customWidth="1" outlineLevel="1"/>
    <col min="52" max="55" width="10.7109375" customWidth="1" outlineLevel="1"/>
    <col min="56" max="56" width="10.7109375" customWidth="1"/>
    <col min="61" max="16384" width="10.7109375" style="43"/>
  </cols>
  <sheetData>
    <row r="1" spans="1:60" customFormat="1" ht="28.5" x14ac:dyDescent="0.45">
      <c r="A1" s="105" t="s">
        <v>10</v>
      </c>
      <c r="B1" s="822"/>
      <c r="C1" s="822"/>
      <c r="D1" s="237"/>
      <c r="E1" s="822"/>
      <c r="F1" s="822"/>
      <c r="G1" s="822"/>
      <c r="H1" s="822"/>
      <c r="I1" s="822"/>
      <c r="J1" s="822"/>
      <c r="K1" s="822"/>
      <c r="L1" s="822"/>
      <c r="M1" s="822"/>
      <c r="N1" s="822"/>
      <c r="O1" s="822"/>
      <c r="P1" s="822"/>
      <c r="Q1" s="822"/>
      <c r="R1" s="822"/>
      <c r="S1" s="822"/>
      <c r="T1" s="822"/>
      <c r="U1" s="822"/>
      <c r="V1" s="822"/>
      <c r="W1" s="822"/>
      <c r="X1" s="822"/>
      <c r="Y1" s="822"/>
      <c r="Z1" s="822"/>
      <c r="AA1" s="822"/>
      <c r="AB1" s="822"/>
      <c r="AC1" s="822"/>
      <c r="AD1" s="822"/>
      <c r="AE1" s="822"/>
      <c r="AF1" s="822"/>
      <c r="AG1" s="822"/>
      <c r="AH1" s="822"/>
      <c r="AI1" s="822"/>
      <c r="AJ1" s="822"/>
      <c r="AK1" s="822"/>
      <c r="AL1" s="822"/>
      <c r="AM1" s="822"/>
      <c r="AN1" s="822"/>
      <c r="AO1" s="822"/>
      <c r="AP1" s="822"/>
      <c r="AQ1" s="822"/>
      <c r="AR1" s="822"/>
      <c r="AS1" s="822"/>
      <c r="AT1" s="822"/>
      <c r="AU1" s="822"/>
      <c r="AV1" s="822"/>
      <c r="AW1" s="823"/>
      <c r="AX1" s="822"/>
      <c r="AY1" s="822"/>
      <c r="AZ1" s="822"/>
      <c r="BA1" s="822"/>
      <c r="BB1" s="822"/>
      <c r="BC1" s="822"/>
      <c r="BD1" s="822"/>
      <c r="BE1" s="822"/>
      <c r="BF1" s="822"/>
      <c r="BG1" s="822"/>
      <c r="BH1" s="821"/>
    </row>
    <row r="2" spans="1:60" customFormat="1" x14ac:dyDescent="0.25">
      <c r="A2" s="467" t="str">
        <f>CHOOSE(MO.DataSourceIndex,MO.Ticker.Bloomberg,MO.Ticker.CapIQ,MO.Ticker.FactSet,MO.Ticker.Thomson)</f>
        <v>NFLX US</v>
      </c>
      <c r="B2" s="478"/>
      <c r="C2" s="231">
        <f>EOMONTH(C4,-12)</f>
        <v>39813</v>
      </c>
      <c r="D2" s="479"/>
      <c r="E2" s="479"/>
      <c r="F2" s="479"/>
      <c r="G2" s="479"/>
      <c r="H2" s="479"/>
      <c r="I2" s="479"/>
      <c r="J2" s="479"/>
      <c r="K2" s="479"/>
      <c r="L2" s="479"/>
      <c r="M2" s="479"/>
      <c r="N2" s="479"/>
      <c r="O2" s="479"/>
      <c r="P2" s="479"/>
      <c r="Q2" s="479"/>
      <c r="R2" s="479"/>
      <c r="S2" s="479"/>
      <c r="T2" s="479"/>
      <c r="U2" s="479"/>
      <c r="V2" s="479"/>
      <c r="W2" s="479"/>
      <c r="X2" s="479"/>
      <c r="Y2" s="479"/>
      <c r="Z2" s="479"/>
      <c r="AA2" s="479"/>
      <c r="AB2" s="479"/>
      <c r="AC2" s="479"/>
      <c r="AD2" s="479"/>
      <c r="AE2" s="479"/>
      <c r="AF2" s="479"/>
      <c r="AG2" s="479"/>
      <c r="AH2" s="479"/>
      <c r="AI2" s="479"/>
      <c r="AJ2" s="479"/>
      <c r="AK2" s="479"/>
      <c r="AL2" s="479"/>
      <c r="AM2" s="479"/>
      <c r="AN2" s="479"/>
      <c r="AO2" s="479"/>
      <c r="AP2" s="479"/>
      <c r="AQ2" s="479"/>
      <c r="AR2" s="479"/>
      <c r="AS2" s="479"/>
      <c r="AT2" s="479"/>
      <c r="AU2" s="479"/>
      <c r="AV2" s="479"/>
      <c r="AW2" s="590"/>
      <c r="AX2" s="479"/>
      <c r="AY2" s="479"/>
      <c r="AZ2" s="479"/>
      <c r="BA2" s="479"/>
      <c r="BB2" s="479"/>
      <c r="BC2" s="479"/>
      <c r="BD2" s="479"/>
      <c r="BE2" s="479"/>
      <c r="BF2" s="479"/>
      <c r="BG2" s="479"/>
      <c r="BH2" s="284"/>
    </row>
    <row r="3" spans="1:60" customFormat="1" x14ac:dyDescent="0.25">
      <c r="A3" s="468" t="str">
        <f ca="1">HP.TradeCurrency</f>
        <v>USD</v>
      </c>
      <c r="B3" s="469">
        <f ca="1">IF(MO.RealTime="OFF",MO.LastPriceHardcoded,MO.LastPriceFormula)</f>
        <v>553.29</v>
      </c>
      <c r="C3" s="544">
        <f>C4-C2</f>
        <v>365</v>
      </c>
      <c r="D3" s="544">
        <f t="shared" ref="D3:J3" si="0">D4-C4</f>
        <v>365</v>
      </c>
      <c r="E3" s="544">
        <f t="shared" si="0"/>
        <v>365</v>
      </c>
      <c r="F3" s="544">
        <f t="shared" si="0"/>
        <v>366</v>
      </c>
      <c r="G3" s="114">
        <f t="shared" si="0"/>
        <v>90</v>
      </c>
      <c r="H3" s="114">
        <f t="shared" si="0"/>
        <v>91</v>
      </c>
      <c r="I3" s="114">
        <f t="shared" si="0"/>
        <v>92</v>
      </c>
      <c r="J3" s="114">
        <f t="shared" si="0"/>
        <v>92</v>
      </c>
      <c r="K3" s="544">
        <f>K4-F4</f>
        <v>365</v>
      </c>
      <c r="L3" s="114">
        <f>L4-K4</f>
        <v>90</v>
      </c>
      <c r="M3" s="114">
        <f>M4-L4</f>
        <v>91</v>
      </c>
      <c r="N3" s="114">
        <f>N4-M4</f>
        <v>92</v>
      </c>
      <c r="O3" s="114">
        <f>O4-N4</f>
        <v>92</v>
      </c>
      <c r="P3" s="544">
        <f>P4-K4</f>
        <v>365</v>
      </c>
      <c r="Q3" s="114">
        <f>Q4-P4</f>
        <v>90</v>
      </c>
      <c r="R3" s="114">
        <f>R4-Q4</f>
        <v>91</v>
      </c>
      <c r="S3" s="114">
        <f>S4-R4</f>
        <v>92</v>
      </c>
      <c r="T3" s="114">
        <f>T4-S4</f>
        <v>92</v>
      </c>
      <c r="U3" s="544">
        <f>U4-P4</f>
        <v>365</v>
      </c>
      <c r="V3" s="114">
        <f>V4-U4</f>
        <v>91</v>
      </c>
      <c r="W3" s="114">
        <f>W4-V4</f>
        <v>91</v>
      </c>
      <c r="X3" s="114">
        <f>X4-W4</f>
        <v>92</v>
      </c>
      <c r="Y3" s="115">
        <f>Y4-X4</f>
        <v>92</v>
      </c>
      <c r="Z3" s="557">
        <f>Z4-U4</f>
        <v>366</v>
      </c>
      <c r="AA3" s="114">
        <f>AA4-Z4</f>
        <v>90</v>
      </c>
      <c r="AB3" s="114">
        <f>AB4-AA4</f>
        <v>91</v>
      </c>
      <c r="AC3" s="114">
        <f>AC4-AB4</f>
        <v>92</v>
      </c>
      <c r="AD3" s="115">
        <f>AD4-AC4</f>
        <v>92</v>
      </c>
      <c r="AE3" s="557">
        <f>AE4-Z4</f>
        <v>365</v>
      </c>
      <c r="AF3" s="114">
        <f>AF4-AE4</f>
        <v>90</v>
      </c>
      <c r="AG3" s="114">
        <f>AG4-AF4</f>
        <v>91</v>
      </c>
      <c r="AH3" s="114">
        <f>AH4-AG4</f>
        <v>92</v>
      </c>
      <c r="AI3" s="115">
        <f>AI4-AH4</f>
        <v>92</v>
      </c>
      <c r="AJ3" s="557">
        <f>AJ4-AE4</f>
        <v>365</v>
      </c>
      <c r="AK3" s="114">
        <f>AK4-AJ4</f>
        <v>90</v>
      </c>
      <c r="AL3" s="114">
        <f>AL4-AK4</f>
        <v>91</v>
      </c>
      <c r="AM3" s="114">
        <f>AM4-AL4</f>
        <v>92</v>
      </c>
      <c r="AN3" s="115">
        <f>AN4-AM4</f>
        <v>92</v>
      </c>
      <c r="AO3" s="557">
        <f>AO4-AJ4</f>
        <v>365</v>
      </c>
      <c r="AP3" s="114">
        <f>AP4-AO4</f>
        <v>91</v>
      </c>
      <c r="AQ3" s="114">
        <f>AQ4-AP4</f>
        <v>91</v>
      </c>
      <c r="AR3" s="114">
        <f>AR4-AQ4</f>
        <v>92</v>
      </c>
      <c r="AS3" s="115">
        <f>AS4-AR4</f>
        <v>92</v>
      </c>
      <c r="AT3" s="557">
        <f>AT4-AO4</f>
        <v>366</v>
      </c>
      <c r="AU3" s="114">
        <f>AU4-AT4</f>
        <v>90</v>
      </c>
      <c r="AV3" s="114">
        <f>AV4-AU4</f>
        <v>91</v>
      </c>
      <c r="AW3" s="564">
        <f>AW4-AV4</f>
        <v>92</v>
      </c>
      <c r="AX3" s="115">
        <f>AX4-AW4</f>
        <v>92</v>
      </c>
      <c r="AY3" s="557">
        <f>AY4-AT4</f>
        <v>365</v>
      </c>
      <c r="AZ3" s="115">
        <f>AZ4-AY4</f>
        <v>90</v>
      </c>
      <c r="BA3" s="115">
        <f>BA4-AZ4</f>
        <v>91</v>
      </c>
      <c r="BB3" s="115">
        <f>BB4-BA4</f>
        <v>92</v>
      </c>
      <c r="BC3" s="115">
        <f>BC4-BB4</f>
        <v>92</v>
      </c>
      <c r="BD3" s="557">
        <f>BD4-AY4</f>
        <v>365</v>
      </c>
      <c r="BE3" s="557">
        <f>BE4-BD4</f>
        <v>365</v>
      </c>
      <c r="BF3" s="557">
        <f>BF4-BE4</f>
        <v>366</v>
      </c>
      <c r="BG3" s="557">
        <f>BG4-BF4</f>
        <v>365</v>
      </c>
      <c r="BH3" s="470"/>
    </row>
    <row r="4" spans="1:60" customFormat="1" x14ac:dyDescent="0.25">
      <c r="A4" s="471" t="str">
        <f>FP.DataSourceName</f>
        <v>Bloomberg</v>
      </c>
      <c r="B4" s="343" t="str">
        <f ca="1">IF(AND(MO.RealTimeStockPriceToggle,MO.LastPriceFormula&lt;&gt;"N/A"),"ON","OFF")</f>
        <v>OFF</v>
      </c>
      <c r="C4" s="545">
        <v>40178</v>
      </c>
      <c r="D4" s="553">
        <f>EOMONTH(C4,12)</f>
        <v>40543</v>
      </c>
      <c r="E4" s="553">
        <f>EOMONTH(D4,12)</f>
        <v>40908</v>
      </c>
      <c r="F4" s="553">
        <f>EOMONTH(E4,12)</f>
        <v>41274</v>
      </c>
      <c r="G4" s="214">
        <f>EOMONTH(F4,3)</f>
        <v>41364</v>
      </c>
      <c r="H4" s="214">
        <f>EOMONTH(G4,3)</f>
        <v>41455</v>
      </c>
      <c r="I4" s="214">
        <f>EOMONTH(H4,3)</f>
        <v>41547</v>
      </c>
      <c r="J4" s="214">
        <f>EOMONTH(I4,3)</f>
        <v>41639</v>
      </c>
      <c r="K4" s="553">
        <f>J4</f>
        <v>41639</v>
      </c>
      <c r="L4" s="214">
        <f>EOMONTH(K4,3)</f>
        <v>41729</v>
      </c>
      <c r="M4" s="214">
        <f>EOMONTH(L4,3)</f>
        <v>41820</v>
      </c>
      <c r="N4" s="214">
        <f>EOMONTH(M4,3)</f>
        <v>41912</v>
      </c>
      <c r="O4" s="214">
        <f>EOMONTH(N4,3)</f>
        <v>42004</v>
      </c>
      <c r="P4" s="553">
        <f>O4</f>
        <v>42004</v>
      </c>
      <c r="Q4" s="214">
        <f>EOMONTH(P4,3)</f>
        <v>42094</v>
      </c>
      <c r="R4" s="214">
        <f>EOMONTH(Q4,3)</f>
        <v>42185</v>
      </c>
      <c r="S4" s="214">
        <f>EOMONTH(R4,3)</f>
        <v>42277</v>
      </c>
      <c r="T4" s="214">
        <f>EOMONTH(S4,3)</f>
        <v>42369</v>
      </c>
      <c r="U4" s="553">
        <f>T4</f>
        <v>42369</v>
      </c>
      <c r="V4" s="214">
        <f>EOMONTH(U4,3)</f>
        <v>42460</v>
      </c>
      <c r="W4" s="116">
        <f>EOMONTH(V4,3)</f>
        <v>42551</v>
      </c>
      <c r="X4" s="214">
        <f>EOMONTH(W4,3)</f>
        <v>42643</v>
      </c>
      <c r="Y4" s="117">
        <f>EOMONTH(X4,3)</f>
        <v>42735</v>
      </c>
      <c r="Z4" s="558">
        <f>Y4</f>
        <v>42735</v>
      </c>
      <c r="AA4" s="116">
        <f>EOMONTH(Z4,3)</f>
        <v>42825</v>
      </c>
      <c r="AB4" s="116">
        <f>EOMONTH(AA4,3)</f>
        <v>42916</v>
      </c>
      <c r="AC4" s="214">
        <f>EOMONTH(AB4,3)</f>
        <v>43008</v>
      </c>
      <c r="AD4" s="117">
        <f>EOMONTH(AC4,3)</f>
        <v>43100</v>
      </c>
      <c r="AE4" s="558">
        <f>AD4</f>
        <v>43100</v>
      </c>
      <c r="AF4" s="116">
        <f>EOMONTH(AE4,3)</f>
        <v>43190</v>
      </c>
      <c r="AG4" s="116">
        <f>EOMONTH(AF4,3)</f>
        <v>43281</v>
      </c>
      <c r="AH4" s="214">
        <f>EOMONTH(AG4,3)</f>
        <v>43373</v>
      </c>
      <c r="AI4" s="117">
        <f>EOMONTH(AH4,3)</f>
        <v>43465</v>
      </c>
      <c r="AJ4" s="558">
        <f>AI4</f>
        <v>43465</v>
      </c>
      <c r="AK4" s="116">
        <f>EOMONTH(AJ4,3)</f>
        <v>43555</v>
      </c>
      <c r="AL4" s="116">
        <f>EOMONTH(AK4,3)</f>
        <v>43646</v>
      </c>
      <c r="AM4" s="214">
        <f>EOMONTH(AL4,3)</f>
        <v>43738</v>
      </c>
      <c r="AN4" s="117">
        <f>EOMONTH(AM4,3)</f>
        <v>43830</v>
      </c>
      <c r="AO4" s="558">
        <f>AN4</f>
        <v>43830</v>
      </c>
      <c r="AP4" s="116">
        <f>EOMONTH(AO4,3)</f>
        <v>43921</v>
      </c>
      <c r="AQ4" s="116">
        <f>EOMONTH(AP4,3)</f>
        <v>44012</v>
      </c>
      <c r="AR4" s="214">
        <f>EOMONTH(AQ4,3)</f>
        <v>44104</v>
      </c>
      <c r="AS4" s="117">
        <f>EOMONTH(AR4,3)</f>
        <v>44196</v>
      </c>
      <c r="AT4" s="558">
        <f>AS4</f>
        <v>44196</v>
      </c>
      <c r="AU4" s="116">
        <f>EOMONTH(AT4,3)</f>
        <v>44286</v>
      </c>
      <c r="AV4" s="116">
        <f>EOMONTH(AU4,3)</f>
        <v>44377</v>
      </c>
      <c r="AW4" s="633">
        <f>EOMONTH(AV4,3)</f>
        <v>44469</v>
      </c>
      <c r="AX4" s="117">
        <f>EOMONTH(AW4,3)</f>
        <v>44561</v>
      </c>
      <c r="AY4" s="558">
        <f>AX4</f>
        <v>44561</v>
      </c>
      <c r="AZ4" s="117">
        <f>EOMONTH(AY4,3)</f>
        <v>44651</v>
      </c>
      <c r="BA4" s="117">
        <f>EOMONTH(AZ4,3)</f>
        <v>44742</v>
      </c>
      <c r="BB4" s="117">
        <f>EOMONTH(BA4,3)</f>
        <v>44834</v>
      </c>
      <c r="BC4" s="117">
        <f>EOMONTH(BB4,3)</f>
        <v>44926</v>
      </c>
      <c r="BD4" s="558">
        <f>BC4</f>
        <v>44926</v>
      </c>
      <c r="BE4" s="558">
        <f>EOMONTH(BD4,12)</f>
        <v>45291</v>
      </c>
      <c r="BF4" s="558">
        <f>EOMONTH(BE4,12)</f>
        <v>45657</v>
      </c>
      <c r="BG4" s="558">
        <f>EOMONTH(BF4,12)</f>
        <v>46022</v>
      </c>
      <c r="BH4" s="278"/>
    </row>
    <row r="5" spans="1:60" customFormat="1" x14ac:dyDescent="0.25">
      <c r="A5" s="142" t="str">
        <f>MO.ReportCurrency</f>
        <v>USD</v>
      </c>
      <c r="B5" s="480"/>
      <c r="C5" s="546" t="s">
        <v>12</v>
      </c>
      <c r="D5" s="554" t="str">
        <f>CONCATENATE("FY",RIGHT(C5,4)+1)</f>
        <v>FY2010</v>
      </c>
      <c r="E5" s="554" t="str">
        <f>CONCATENATE("FY",RIGHT(D5,4)+1)</f>
        <v>FY2011</v>
      </c>
      <c r="F5" s="554" t="str">
        <f>CONCATENATE("FY",RIGHT(E5,4)+1)</f>
        <v>FY2012</v>
      </c>
      <c r="G5" s="77" t="str">
        <f>CONCATENATE("Q1","-",RIGHT(F5,4)+1)</f>
        <v>Q1-2013</v>
      </c>
      <c r="H5" s="77" t="str">
        <f>CONCATENATE("Q2","-",RIGHT(G5,4))</f>
        <v>Q2-2013</v>
      </c>
      <c r="I5" s="77" t="str">
        <f>CONCATENATE("Q3","-",RIGHT(H5,4))</f>
        <v>Q3-2013</v>
      </c>
      <c r="J5" s="77" t="str">
        <f>CONCATENATE("Q4","-",RIGHT(I5,4))</f>
        <v>Q4-2013</v>
      </c>
      <c r="K5" s="554" t="str">
        <f>CONCATENATE("FY",RIGHT(F5,4)+1)</f>
        <v>FY2013</v>
      </c>
      <c r="L5" s="77" t="str">
        <f>CONCATENATE("Q1","-",RIGHT(K5,4)+1)</f>
        <v>Q1-2014</v>
      </c>
      <c r="M5" s="77" t="str">
        <f>CONCATENATE("Q2","-",RIGHT(L5,4))</f>
        <v>Q2-2014</v>
      </c>
      <c r="N5" s="77" t="str">
        <f>CONCATENATE("Q3","-",RIGHT(M5,4))</f>
        <v>Q3-2014</v>
      </c>
      <c r="O5" s="77" t="str">
        <f>CONCATENATE("Q4","-",RIGHT(N5,4))</f>
        <v>Q4-2014</v>
      </c>
      <c r="P5" s="554" t="str">
        <f>CONCATENATE("FY",RIGHT(K5,4)+1)</f>
        <v>FY2014</v>
      </c>
      <c r="Q5" s="77" t="str">
        <f>CONCATENATE("Q1","-",RIGHT(P5,4)+1)</f>
        <v>Q1-2015</v>
      </c>
      <c r="R5" s="77" t="str">
        <f>CONCATENATE("Q2","-",RIGHT(Q5,4))</f>
        <v>Q2-2015</v>
      </c>
      <c r="S5" s="77" t="str">
        <f>CONCATENATE("Q3","-",RIGHT(R5,4))</f>
        <v>Q3-2015</v>
      </c>
      <c r="T5" s="77" t="str">
        <f>CONCATENATE("Q4","-",RIGHT(S5,4))</f>
        <v>Q4-2015</v>
      </c>
      <c r="U5" s="554" t="str">
        <f>CONCATENATE("FY",RIGHT(P5,4)+1)</f>
        <v>FY2015</v>
      </c>
      <c r="V5" s="77" t="str">
        <f>CONCATENATE("Q1","-",RIGHT(U5,4)+1)</f>
        <v>Q1-2016</v>
      </c>
      <c r="W5" s="110" t="str">
        <f>CONCATENATE("Q2","-",RIGHT(V5,4))</f>
        <v>Q2-2016</v>
      </c>
      <c r="X5" s="77" t="str">
        <f>CONCATENATE("Q3","-",RIGHT(W5,4))</f>
        <v>Q3-2016</v>
      </c>
      <c r="Y5" s="90" t="str">
        <f>CONCATENATE("Q4","-",RIGHT(X5,4))</f>
        <v>Q4-2016</v>
      </c>
      <c r="Z5" s="559" t="str">
        <f>CONCATENATE("FY",RIGHT(U5,4)+1)</f>
        <v>FY2016</v>
      </c>
      <c r="AA5" s="110" t="str">
        <f>CONCATENATE("Q1","-",RIGHT(Z5,4)+1)</f>
        <v>Q1-2017</v>
      </c>
      <c r="AB5" s="110" t="str">
        <f>CONCATENATE("Q2","-",RIGHT(AA5,4))</f>
        <v>Q2-2017</v>
      </c>
      <c r="AC5" s="77" t="str">
        <f>CONCATENATE("Q3","-",RIGHT(AB5,4))</f>
        <v>Q3-2017</v>
      </c>
      <c r="AD5" s="90" t="str">
        <f>CONCATENATE("Q4","-",RIGHT(AC5,4))</f>
        <v>Q4-2017</v>
      </c>
      <c r="AE5" s="559" t="str">
        <f>CONCATENATE("FY",RIGHT(Z5,4)+1)</f>
        <v>FY2017</v>
      </c>
      <c r="AF5" s="110" t="str">
        <f>CONCATENATE("Q1","-",RIGHT(AE5,4)+1)</f>
        <v>Q1-2018</v>
      </c>
      <c r="AG5" s="110" t="str">
        <f>CONCATENATE("Q2","-",RIGHT(AF5,4))</f>
        <v>Q2-2018</v>
      </c>
      <c r="AH5" s="77" t="str">
        <f>CONCATENATE("Q3","-",RIGHT(AG5,4))</f>
        <v>Q3-2018</v>
      </c>
      <c r="AI5" s="90" t="str">
        <f>CONCATENATE("Q4","-",RIGHT(AH5,4))</f>
        <v>Q4-2018</v>
      </c>
      <c r="AJ5" s="559" t="str">
        <f>CONCATENATE("FY",RIGHT(AE5,4)+1)</f>
        <v>FY2018</v>
      </c>
      <c r="AK5" s="110" t="str">
        <f>CONCATENATE("Q1","-",RIGHT(AJ5,4)+1)</f>
        <v>Q1-2019</v>
      </c>
      <c r="AL5" s="110" t="str">
        <f>CONCATENATE("Q2","-",RIGHT(AK5,4))</f>
        <v>Q2-2019</v>
      </c>
      <c r="AM5" s="77" t="str">
        <f>CONCATENATE("Q3","-",RIGHT(AL5,4))</f>
        <v>Q3-2019</v>
      </c>
      <c r="AN5" s="90" t="str">
        <f>CONCATENATE("Q4","-",RIGHT(AM5,4))</f>
        <v>Q4-2019</v>
      </c>
      <c r="AO5" s="559" t="str">
        <f>CONCATENATE("FY",RIGHT(AJ5,4)+1)</f>
        <v>FY2019</v>
      </c>
      <c r="AP5" s="110" t="str">
        <f>CONCATENATE("Q1","-",RIGHT(AO5,4)+1)</f>
        <v>Q1-2020</v>
      </c>
      <c r="AQ5" s="110" t="str">
        <f>CONCATENATE("Q2","-",RIGHT(AP5,4))</f>
        <v>Q2-2020</v>
      </c>
      <c r="AR5" s="77" t="str">
        <f>CONCATENATE("Q3","-",RIGHT(AQ5,4))</f>
        <v>Q3-2020</v>
      </c>
      <c r="AS5" s="90" t="str">
        <f>CONCATENATE("Q4","-",RIGHT(AR5,4))</f>
        <v>Q4-2020</v>
      </c>
      <c r="AT5" s="559" t="str">
        <f>CONCATENATE("FY",RIGHT(AO5,4)+1)</f>
        <v>FY2020</v>
      </c>
      <c r="AU5" s="110" t="str">
        <f>CONCATENATE("Q1","-",RIGHT(AT5,4)+1)</f>
        <v>Q1-2021</v>
      </c>
      <c r="AV5" s="110" t="str">
        <f>CONCATENATE("Q2","-",RIGHT(AU5,4))</f>
        <v>Q2-2021</v>
      </c>
      <c r="AW5" s="634" t="str">
        <f>CONCATENATE("Q3","-",RIGHT(AV5,4))</f>
        <v>Q3-2021</v>
      </c>
      <c r="AX5" s="90" t="str">
        <f>CONCATENATE("Q4","-",RIGHT(AW5,4))</f>
        <v>Q4-2021</v>
      </c>
      <c r="AY5" s="559" t="str">
        <f>CONCATENATE("FY",RIGHT(AT5,4)+1)</f>
        <v>FY2021</v>
      </c>
      <c r="AZ5" s="90" t="str">
        <f>CONCATENATE("Q1","-",RIGHT(AY5,4)+1)</f>
        <v>Q1-2022</v>
      </c>
      <c r="BA5" s="90" t="str">
        <f>CONCATENATE("Q2","-",RIGHT(AZ5,4))</f>
        <v>Q2-2022</v>
      </c>
      <c r="BB5" s="90" t="str">
        <f>CONCATENATE("Q3","-",RIGHT(BA5,4))</f>
        <v>Q3-2022</v>
      </c>
      <c r="BC5" s="90" t="str">
        <f>CONCATENATE("Q4","-",RIGHT(BB5,4))</f>
        <v>Q4-2022</v>
      </c>
      <c r="BD5" s="559" t="str">
        <f>CONCATENATE("FY",RIGHT(AY5,4)+1)</f>
        <v>FY2022</v>
      </c>
      <c r="BE5" s="559" t="str">
        <f>CONCATENATE("FY",RIGHT(BD5,4)+1)</f>
        <v>FY2023</v>
      </c>
      <c r="BF5" s="559" t="str">
        <f>CONCATENATE("FY",RIGHT(BE5,4)+1)</f>
        <v>FY2024</v>
      </c>
      <c r="BG5" s="559" t="str">
        <f>CONCATENATE("FY",RIGHT(BF5,4)+1)</f>
        <v>FY2025</v>
      </c>
      <c r="BH5" s="284"/>
    </row>
    <row r="6" spans="1:60" s="57" customFormat="1" x14ac:dyDescent="0.25">
      <c r="A6" s="819" t="s">
        <v>665</v>
      </c>
      <c r="B6" s="819"/>
      <c r="C6" s="819"/>
      <c r="D6" s="819"/>
      <c r="E6" s="819"/>
      <c r="F6" s="819"/>
      <c r="G6" s="819"/>
      <c r="H6" s="819"/>
      <c r="I6" s="819"/>
      <c r="J6" s="819"/>
      <c r="K6" s="819"/>
      <c r="L6" s="819"/>
      <c r="M6" s="819"/>
      <c r="N6" s="819"/>
      <c r="O6" s="819"/>
      <c r="P6" s="819"/>
      <c r="Q6" s="819"/>
      <c r="R6" s="819"/>
      <c r="S6" s="819"/>
      <c r="T6" s="819"/>
      <c r="U6" s="819"/>
      <c r="V6" s="819"/>
      <c r="W6" s="819"/>
      <c r="X6" s="819"/>
      <c r="Y6" s="819"/>
      <c r="Z6" s="819"/>
      <c r="AA6" s="819"/>
      <c r="AB6" s="819"/>
      <c r="AC6" s="819"/>
      <c r="AD6" s="819"/>
      <c r="AE6" s="819"/>
      <c r="AF6" s="819"/>
      <c r="AG6" s="819"/>
      <c r="AH6" s="819"/>
      <c r="AI6" s="819"/>
      <c r="AJ6" s="819"/>
      <c r="AK6" s="819"/>
      <c r="AL6" s="819"/>
      <c r="AM6" s="819"/>
      <c r="AN6" s="819"/>
      <c r="AO6" s="819"/>
      <c r="AP6" s="819"/>
      <c r="AQ6" s="819"/>
      <c r="AR6" s="819"/>
      <c r="AS6" s="819"/>
      <c r="AT6" s="819"/>
      <c r="AU6" s="819"/>
      <c r="AV6" s="819"/>
      <c r="AW6" s="820"/>
      <c r="AX6" s="819"/>
      <c r="AY6" s="819"/>
      <c r="AZ6" s="819"/>
      <c r="BA6" s="819"/>
      <c r="BB6" s="819"/>
      <c r="BC6" s="819"/>
      <c r="BD6" s="819"/>
      <c r="BE6" s="819"/>
      <c r="BF6" s="819"/>
      <c r="BG6" s="819"/>
      <c r="BH6" s="824"/>
    </row>
    <row r="7" spans="1:60" s="378" customFormat="1" x14ac:dyDescent="0.25">
      <c r="A7" s="486" t="s">
        <v>767</v>
      </c>
      <c r="B7" s="736"/>
      <c r="C7" s="440"/>
      <c r="D7" s="440"/>
      <c r="E7" s="440"/>
      <c r="F7" s="440"/>
      <c r="G7" s="439">
        <f>F9</f>
        <v>30363</v>
      </c>
      <c r="H7" s="439">
        <f t="shared" ref="H7:O7" si="1">G9</f>
        <v>34244</v>
      </c>
      <c r="I7" s="439">
        <f t="shared" si="1"/>
        <v>35638</v>
      </c>
      <c r="J7" s="439">
        <f t="shared" si="1"/>
        <v>38009</v>
      </c>
      <c r="K7" s="440">
        <f>F9</f>
        <v>30363</v>
      </c>
      <c r="L7" s="439">
        <f>K9</f>
        <v>41434</v>
      </c>
      <c r="M7" s="439">
        <f t="shared" si="1"/>
        <v>46132</v>
      </c>
      <c r="N7" s="439">
        <f t="shared" si="1"/>
        <v>47992</v>
      </c>
      <c r="O7" s="439">
        <f t="shared" si="1"/>
        <v>50654</v>
      </c>
      <c r="P7" s="440">
        <f>K9</f>
        <v>41434</v>
      </c>
      <c r="Q7" s="439">
        <f>P9</f>
        <v>54476</v>
      </c>
      <c r="R7" s="439">
        <f t="shared" ref="R7:T7" si="2">Q9</f>
        <v>59619</v>
      </c>
      <c r="S7" s="439">
        <f t="shared" si="2"/>
        <v>62706</v>
      </c>
      <c r="T7" s="439">
        <f t="shared" si="2"/>
        <v>66019</v>
      </c>
      <c r="U7" s="440">
        <f>P9</f>
        <v>54476</v>
      </c>
      <c r="V7" s="439">
        <f>U9</f>
        <v>70839</v>
      </c>
      <c r="W7" s="439">
        <f t="shared" ref="W7:Y7" si="3">V9</f>
        <v>77707</v>
      </c>
      <c r="X7" s="439">
        <f t="shared" si="3"/>
        <v>79896</v>
      </c>
      <c r="Y7" s="439">
        <f t="shared" si="3"/>
        <v>83278</v>
      </c>
      <c r="Z7" s="440">
        <f>U9</f>
        <v>70839</v>
      </c>
      <c r="AA7" s="439">
        <f>Z9</f>
        <v>89090</v>
      </c>
      <c r="AB7" s="439">
        <f t="shared" ref="AB7:AD7" si="4">AA9</f>
        <v>94363</v>
      </c>
      <c r="AC7" s="439">
        <f t="shared" si="4"/>
        <v>99036</v>
      </c>
      <c r="AD7" s="439">
        <f t="shared" si="4"/>
        <v>104023</v>
      </c>
      <c r="AE7" s="440">
        <f>Z9</f>
        <v>89090</v>
      </c>
      <c r="AF7" s="439">
        <f>AE9</f>
        <v>110644</v>
      </c>
      <c r="AG7" s="439">
        <f t="shared" ref="AG7:AI7" si="5">AF9</f>
        <v>118902</v>
      </c>
      <c r="AH7" s="439">
        <f t="shared" si="5"/>
        <v>124354</v>
      </c>
      <c r="AI7" s="439">
        <f t="shared" si="5"/>
        <v>130422</v>
      </c>
      <c r="AJ7" s="440">
        <f>AE9</f>
        <v>110644</v>
      </c>
      <c r="AK7" s="439">
        <f>AJ9</f>
        <v>139259</v>
      </c>
      <c r="AL7" s="439">
        <f t="shared" ref="AL7:AN7" si="6">AK9</f>
        <v>148863</v>
      </c>
      <c r="AM7" s="439">
        <f t="shared" si="6"/>
        <v>151562</v>
      </c>
      <c r="AN7" s="439">
        <f t="shared" si="6"/>
        <v>158334</v>
      </c>
      <c r="AO7" s="440">
        <f>AJ9</f>
        <v>139259</v>
      </c>
      <c r="AP7" s="439">
        <f>AO9</f>
        <v>167090</v>
      </c>
      <c r="AQ7" s="439">
        <f t="shared" ref="AQ7:AS7" si="7">AP9</f>
        <v>182856</v>
      </c>
      <c r="AR7" s="439">
        <f t="shared" si="7"/>
        <v>192947</v>
      </c>
      <c r="AS7" s="439">
        <f t="shared" si="7"/>
        <v>195151</v>
      </c>
      <c r="AT7" s="440">
        <f>AO9</f>
        <v>167090</v>
      </c>
      <c r="AU7" s="439">
        <f>AT9</f>
        <v>203663</v>
      </c>
      <c r="AV7" s="439">
        <f t="shared" ref="AV7:AX7" si="8">AU9</f>
        <v>207639</v>
      </c>
      <c r="AW7" s="583">
        <f t="shared" si="8"/>
        <v>209180</v>
      </c>
      <c r="AX7" s="439">
        <f t="shared" si="8"/>
        <v>213563</v>
      </c>
      <c r="AY7" s="440">
        <f>AT9</f>
        <v>203663</v>
      </c>
      <c r="AZ7" s="439">
        <f>AY9</f>
        <v>221598.49</v>
      </c>
      <c r="BA7" s="439">
        <f t="shared" ref="BA7:BC7" si="9">AZ9</f>
        <v>226215.50539999999</v>
      </c>
      <c r="BB7" s="439">
        <f t="shared" si="9"/>
        <v>230993.424784</v>
      </c>
      <c r="BC7" s="439">
        <f t="shared" si="9"/>
        <v>235940.15466163997</v>
      </c>
      <c r="BD7" s="440">
        <f>AY9</f>
        <v>221598.49</v>
      </c>
      <c r="BE7" s="440">
        <f>BD9</f>
        <v>241461.32928680201</v>
      </c>
      <c r="BF7" s="440">
        <f t="shared" ref="BF7:BG7" si="10">BE9</f>
        <v>268834.51783162408</v>
      </c>
      <c r="BG7" s="440">
        <f t="shared" si="10"/>
        <v>299276.58306010155</v>
      </c>
      <c r="BH7" s="89"/>
    </row>
    <row r="8" spans="1:60" s="376" customFormat="1" x14ac:dyDescent="0.25">
      <c r="A8" s="683" t="s">
        <v>768</v>
      </c>
      <c r="B8" s="791"/>
      <c r="C8" s="792"/>
      <c r="D8" s="792"/>
      <c r="E8" s="792"/>
      <c r="F8" s="792"/>
      <c r="G8" s="793">
        <f t="shared" ref="G8:Y8" si="11">G9-G7</f>
        <v>3881</v>
      </c>
      <c r="H8" s="793">
        <f t="shared" si="11"/>
        <v>1394</v>
      </c>
      <c r="I8" s="793">
        <f t="shared" si="11"/>
        <v>2371</v>
      </c>
      <c r="J8" s="793">
        <f t="shared" si="11"/>
        <v>3425</v>
      </c>
      <c r="K8" s="792">
        <f t="shared" si="11"/>
        <v>11071</v>
      </c>
      <c r="L8" s="793">
        <f t="shared" si="11"/>
        <v>4698</v>
      </c>
      <c r="M8" s="793">
        <f t="shared" si="11"/>
        <v>1860</v>
      </c>
      <c r="N8" s="793">
        <f t="shared" si="11"/>
        <v>2662</v>
      </c>
      <c r="O8" s="793">
        <f t="shared" si="11"/>
        <v>3822</v>
      </c>
      <c r="P8" s="792">
        <f t="shared" si="11"/>
        <v>13042</v>
      </c>
      <c r="Q8" s="793">
        <f t="shared" si="11"/>
        <v>5143</v>
      </c>
      <c r="R8" s="793">
        <f t="shared" si="11"/>
        <v>3087</v>
      </c>
      <c r="S8" s="793">
        <f t="shared" si="11"/>
        <v>3313</v>
      </c>
      <c r="T8" s="793">
        <f t="shared" si="11"/>
        <v>4820</v>
      </c>
      <c r="U8" s="792">
        <f t="shared" si="11"/>
        <v>16363</v>
      </c>
      <c r="V8" s="793">
        <f t="shared" si="11"/>
        <v>6868</v>
      </c>
      <c r="W8" s="793">
        <f t="shared" si="11"/>
        <v>2189</v>
      </c>
      <c r="X8" s="793">
        <f t="shared" si="11"/>
        <v>3382</v>
      </c>
      <c r="Y8" s="793">
        <f t="shared" si="11"/>
        <v>5812</v>
      </c>
      <c r="Z8" s="792">
        <f>Z9-Z7</f>
        <v>18251</v>
      </c>
      <c r="AA8" s="793">
        <f t="shared" ref="AA8:BG8" si="12">AA9-AA7</f>
        <v>5273</v>
      </c>
      <c r="AB8" s="793">
        <f t="shared" si="12"/>
        <v>4673</v>
      </c>
      <c r="AC8" s="793">
        <f t="shared" si="12"/>
        <v>4987</v>
      </c>
      <c r="AD8" s="793">
        <f t="shared" si="12"/>
        <v>6621</v>
      </c>
      <c r="AE8" s="792">
        <f t="shared" si="12"/>
        <v>21554</v>
      </c>
      <c r="AF8" s="793">
        <f t="shared" si="12"/>
        <v>8258</v>
      </c>
      <c r="AG8" s="793">
        <f t="shared" si="12"/>
        <v>5452</v>
      </c>
      <c r="AH8" s="793">
        <f t="shared" si="12"/>
        <v>6068</v>
      </c>
      <c r="AI8" s="793">
        <f t="shared" si="12"/>
        <v>8837</v>
      </c>
      <c r="AJ8" s="792">
        <f t="shared" si="12"/>
        <v>28615</v>
      </c>
      <c r="AK8" s="793">
        <f t="shared" si="12"/>
        <v>9604</v>
      </c>
      <c r="AL8" s="793">
        <f t="shared" si="12"/>
        <v>2699</v>
      </c>
      <c r="AM8" s="793">
        <f t="shared" si="12"/>
        <v>6772</v>
      </c>
      <c r="AN8" s="793">
        <f t="shared" si="12"/>
        <v>8756</v>
      </c>
      <c r="AO8" s="792">
        <f t="shared" si="12"/>
        <v>27831</v>
      </c>
      <c r="AP8" s="793">
        <f t="shared" si="12"/>
        <v>15766</v>
      </c>
      <c r="AQ8" s="793">
        <f t="shared" si="12"/>
        <v>10091</v>
      </c>
      <c r="AR8" s="793">
        <f t="shared" si="12"/>
        <v>2204</v>
      </c>
      <c r="AS8" s="793">
        <f t="shared" si="12"/>
        <v>8512</v>
      </c>
      <c r="AT8" s="792">
        <f t="shared" si="12"/>
        <v>36573</v>
      </c>
      <c r="AU8" s="793">
        <f t="shared" si="12"/>
        <v>3976</v>
      </c>
      <c r="AV8" s="793">
        <f t="shared" si="12"/>
        <v>1541</v>
      </c>
      <c r="AW8" s="815">
        <f t="shared" si="12"/>
        <v>4383</v>
      </c>
      <c r="AX8" s="793">
        <f t="shared" si="12"/>
        <v>8035.4899999999907</v>
      </c>
      <c r="AY8" s="792">
        <f t="shared" si="12"/>
        <v>17935.489999999991</v>
      </c>
      <c r="AZ8" s="793">
        <f t="shared" si="12"/>
        <v>4617.0154000000039</v>
      </c>
      <c r="BA8" s="793">
        <f t="shared" si="12"/>
        <v>4777.919384000008</v>
      </c>
      <c r="BB8" s="793">
        <f t="shared" si="12"/>
        <v>4946.7298776399693</v>
      </c>
      <c r="BC8" s="793">
        <f t="shared" si="12"/>
        <v>5521.1746251620061</v>
      </c>
      <c r="BD8" s="792">
        <f t="shared" si="12"/>
        <v>19862.839286802016</v>
      </c>
      <c r="BE8" s="792">
        <f t="shared" si="12"/>
        <v>27373.188544822071</v>
      </c>
      <c r="BF8" s="792">
        <f t="shared" si="12"/>
        <v>30442.06522847747</v>
      </c>
      <c r="BG8" s="792">
        <f t="shared" si="12"/>
        <v>35298.999825238658</v>
      </c>
      <c r="BH8" s="280"/>
    </row>
    <row r="9" spans="1:60" s="57" customFormat="1" x14ac:dyDescent="0.25">
      <c r="A9" s="379" t="s">
        <v>766</v>
      </c>
      <c r="B9" s="487"/>
      <c r="C9" s="400"/>
      <c r="D9" s="400"/>
      <c r="E9" s="400"/>
      <c r="F9" s="400">
        <f t="shared" ref="F9:AK9" si="13">F148</f>
        <v>30363</v>
      </c>
      <c r="G9" s="399">
        <f t="shared" si="13"/>
        <v>34244</v>
      </c>
      <c r="H9" s="399">
        <f t="shared" si="13"/>
        <v>35638</v>
      </c>
      <c r="I9" s="399">
        <f t="shared" si="13"/>
        <v>38009</v>
      </c>
      <c r="J9" s="399">
        <f t="shared" si="13"/>
        <v>41434</v>
      </c>
      <c r="K9" s="400">
        <f t="shared" si="13"/>
        <v>41434</v>
      </c>
      <c r="L9" s="399">
        <f t="shared" si="13"/>
        <v>46132</v>
      </c>
      <c r="M9" s="399">
        <f t="shared" si="13"/>
        <v>47992</v>
      </c>
      <c r="N9" s="399">
        <f t="shared" si="13"/>
        <v>50654</v>
      </c>
      <c r="O9" s="399">
        <f t="shared" si="13"/>
        <v>54476</v>
      </c>
      <c r="P9" s="400">
        <f t="shared" si="13"/>
        <v>54476</v>
      </c>
      <c r="Q9" s="399">
        <f t="shared" si="13"/>
        <v>59619</v>
      </c>
      <c r="R9" s="399">
        <f t="shared" si="13"/>
        <v>62706</v>
      </c>
      <c r="S9" s="399">
        <f t="shared" si="13"/>
        <v>66019</v>
      </c>
      <c r="T9" s="399">
        <f t="shared" si="13"/>
        <v>70839</v>
      </c>
      <c r="U9" s="400">
        <f t="shared" si="13"/>
        <v>70839</v>
      </c>
      <c r="V9" s="399">
        <f t="shared" si="13"/>
        <v>77707</v>
      </c>
      <c r="W9" s="399">
        <f t="shared" si="13"/>
        <v>79896</v>
      </c>
      <c r="X9" s="399">
        <f t="shared" si="13"/>
        <v>83278</v>
      </c>
      <c r="Y9" s="399">
        <f t="shared" si="13"/>
        <v>89090</v>
      </c>
      <c r="Z9" s="400">
        <f t="shared" si="13"/>
        <v>89090</v>
      </c>
      <c r="AA9" s="89">
        <f t="shared" si="13"/>
        <v>94363</v>
      </c>
      <c r="AB9" s="89">
        <f t="shared" si="13"/>
        <v>99036</v>
      </c>
      <c r="AC9" s="89">
        <f t="shared" si="13"/>
        <v>104023</v>
      </c>
      <c r="AD9" s="89">
        <f t="shared" si="13"/>
        <v>110644</v>
      </c>
      <c r="AE9" s="377">
        <f t="shared" si="13"/>
        <v>110644</v>
      </c>
      <c r="AF9" s="89">
        <f t="shared" si="13"/>
        <v>118902</v>
      </c>
      <c r="AG9" s="89">
        <f t="shared" si="13"/>
        <v>124354</v>
      </c>
      <c r="AH9" s="89">
        <f t="shared" si="13"/>
        <v>130422</v>
      </c>
      <c r="AI9" s="89">
        <f t="shared" si="13"/>
        <v>139259</v>
      </c>
      <c r="AJ9" s="377">
        <f t="shared" si="13"/>
        <v>139259</v>
      </c>
      <c r="AK9" s="89">
        <f t="shared" si="13"/>
        <v>148863</v>
      </c>
      <c r="AL9" s="89">
        <f t="shared" ref="AL9:BG9" si="14">AL148</f>
        <v>151562</v>
      </c>
      <c r="AM9" s="89">
        <f t="shared" si="14"/>
        <v>158334</v>
      </c>
      <c r="AN9" s="89">
        <f t="shared" si="14"/>
        <v>167090</v>
      </c>
      <c r="AO9" s="377">
        <f t="shared" si="14"/>
        <v>167090</v>
      </c>
      <c r="AP9" s="89">
        <f t="shared" si="14"/>
        <v>182856</v>
      </c>
      <c r="AQ9" s="89">
        <f t="shared" si="14"/>
        <v>192947</v>
      </c>
      <c r="AR9" s="89">
        <f t="shared" si="14"/>
        <v>195151</v>
      </c>
      <c r="AS9" s="89">
        <f t="shared" si="14"/>
        <v>203663</v>
      </c>
      <c r="AT9" s="377">
        <f t="shared" si="14"/>
        <v>203663</v>
      </c>
      <c r="AU9" s="89">
        <f t="shared" si="14"/>
        <v>207639</v>
      </c>
      <c r="AV9" s="89">
        <f t="shared" si="14"/>
        <v>209180</v>
      </c>
      <c r="AW9" s="647">
        <f t="shared" si="14"/>
        <v>213563</v>
      </c>
      <c r="AX9" s="89">
        <f t="shared" si="14"/>
        <v>221598.49</v>
      </c>
      <c r="AY9" s="377">
        <f t="shared" si="14"/>
        <v>221598.49</v>
      </c>
      <c r="AZ9" s="89">
        <f t="shared" si="14"/>
        <v>226215.50539999999</v>
      </c>
      <c r="BA9" s="89">
        <f t="shared" si="14"/>
        <v>230993.424784</v>
      </c>
      <c r="BB9" s="89">
        <f t="shared" si="14"/>
        <v>235940.15466163997</v>
      </c>
      <c r="BC9" s="89">
        <f t="shared" si="14"/>
        <v>241461.32928680198</v>
      </c>
      <c r="BD9" s="377">
        <f t="shared" si="14"/>
        <v>241461.32928680201</v>
      </c>
      <c r="BE9" s="377">
        <f t="shared" si="14"/>
        <v>268834.51783162408</v>
      </c>
      <c r="BF9" s="377">
        <f t="shared" si="14"/>
        <v>299276.58306010155</v>
      </c>
      <c r="BG9" s="377">
        <f t="shared" si="14"/>
        <v>334575.58288534021</v>
      </c>
      <c r="BH9" s="89"/>
    </row>
    <row r="10" spans="1:60" s="57" customFormat="1" x14ac:dyDescent="0.25">
      <c r="A10" s="651" t="s">
        <v>682</v>
      </c>
      <c r="B10" s="650"/>
      <c r="C10" s="796"/>
      <c r="D10" s="796"/>
      <c r="E10" s="796"/>
      <c r="F10" s="796"/>
      <c r="G10" s="163"/>
      <c r="H10" s="163">
        <f>H9/G9-1</f>
        <v>4.0707861231164655E-2</v>
      </c>
      <c r="I10" s="163">
        <f>I9/H9-1</f>
        <v>6.6530108311352976E-2</v>
      </c>
      <c r="J10" s="163">
        <f>J9/I9-1</f>
        <v>9.0110237049120023E-2</v>
      </c>
      <c r="K10" s="796"/>
      <c r="L10" s="163">
        <f>L9/J9-1</f>
        <v>0.11338514263648203</v>
      </c>
      <c r="M10" s="163">
        <f>M9/L9-1</f>
        <v>4.0319084366600144E-2</v>
      </c>
      <c r="N10" s="163">
        <f>N9/M9-1</f>
        <v>5.5467577929654954E-2</v>
      </c>
      <c r="O10" s="163">
        <f>O9/N9-1</f>
        <v>7.5453073794764514E-2</v>
      </c>
      <c r="P10" s="796"/>
      <c r="Q10" s="163">
        <f>Q9/O9-1</f>
        <v>9.440854688303113E-2</v>
      </c>
      <c r="R10" s="163">
        <f>R9/Q9-1</f>
        <v>5.1778795350475582E-2</v>
      </c>
      <c r="S10" s="163">
        <f>S9/R9-1</f>
        <v>5.2833859598762523E-2</v>
      </c>
      <c r="T10" s="163">
        <f>T9/S9-1</f>
        <v>7.3009285205773988E-2</v>
      </c>
      <c r="U10" s="796"/>
      <c r="V10" s="163">
        <f>V9/T9-1</f>
        <v>9.6952243820494388E-2</v>
      </c>
      <c r="W10" s="163">
        <f>W9/V9-1</f>
        <v>2.8169920341796661E-2</v>
      </c>
      <c r="X10" s="163">
        <f>X9/W9-1</f>
        <v>4.2330029037749073E-2</v>
      </c>
      <c r="Y10" s="163">
        <f>Y9/X9-1</f>
        <v>6.9790340786282101E-2</v>
      </c>
      <c r="Z10" s="796"/>
      <c r="AA10" s="648">
        <f>AA9/Y9-1</f>
        <v>5.9187338646312648E-2</v>
      </c>
      <c r="AB10" s="648">
        <f>AB9/AA9-1</f>
        <v>4.9521528565221518E-2</v>
      </c>
      <c r="AC10" s="648">
        <f>AC9/AB9-1</f>
        <v>5.0355426309624862E-2</v>
      </c>
      <c r="AD10" s="648">
        <f>AD9/AC9-1</f>
        <v>6.3649385232112055E-2</v>
      </c>
      <c r="AE10" s="796"/>
      <c r="AF10" s="648">
        <f>AF9/AD9-1</f>
        <v>7.4635768771917244E-2</v>
      </c>
      <c r="AG10" s="648">
        <f>AG9/AF9-1</f>
        <v>4.5852887251686347E-2</v>
      </c>
      <c r="AH10" s="648">
        <f>AH9/AG9-1</f>
        <v>4.8796178651269839E-2</v>
      </c>
      <c r="AI10" s="648">
        <f>AI9/AH9-1</f>
        <v>6.7756973516738039E-2</v>
      </c>
      <c r="AJ10" s="796"/>
      <c r="AK10" s="648">
        <f>AK9/AI9-1</f>
        <v>6.8965022009349397E-2</v>
      </c>
      <c r="AL10" s="648">
        <f>AL9/AK9-1</f>
        <v>1.8130764528458965E-2</v>
      </c>
      <c r="AM10" s="648">
        <f>AM9/AL9-1</f>
        <v>4.4681384515907752E-2</v>
      </c>
      <c r="AN10" s="648">
        <f>AN9/AM9-1</f>
        <v>5.530081978602186E-2</v>
      </c>
      <c r="AO10" s="796"/>
      <c r="AP10" s="648">
        <f>AP9/AN9-1</f>
        <v>9.4356334909330375E-2</v>
      </c>
      <c r="AQ10" s="648">
        <f>AQ9/AP9-1</f>
        <v>5.5185501159382255E-2</v>
      </c>
      <c r="AR10" s="648">
        <f>AR9/AQ9-1</f>
        <v>1.1422825957387195E-2</v>
      </c>
      <c r="AS10" s="648">
        <f>AS9/AR9-1</f>
        <v>4.3617506443728082E-2</v>
      </c>
      <c r="AT10" s="796"/>
      <c r="AU10" s="648">
        <f>AU9/AS9-1</f>
        <v>1.9522446394288684E-2</v>
      </c>
      <c r="AV10" s="648">
        <f>AV9/AU9-1</f>
        <v>7.4215344901487068E-3</v>
      </c>
      <c r="AW10" s="652">
        <f>AW9/AV9-1</f>
        <v>2.0953246008222681E-2</v>
      </c>
      <c r="AX10" s="648">
        <f>AX9/AW9-1</f>
        <v>3.7625852792852577E-2</v>
      </c>
      <c r="AY10" s="796"/>
      <c r="AZ10" s="648">
        <f>AZ9/AX9-1</f>
        <v>2.0835049011389994E-2</v>
      </c>
      <c r="BA10" s="648">
        <f>BA9/AZ9-1</f>
        <v>2.1121095901678322E-2</v>
      </c>
      <c r="BB10" s="648">
        <f>BB9/BA9-1</f>
        <v>2.1415024614945599E-2</v>
      </c>
      <c r="BC10" s="648">
        <f>BC9/BB9-1</f>
        <v>2.3400741739276532E-2</v>
      </c>
      <c r="BD10" s="796"/>
      <c r="BE10" s="796"/>
      <c r="BF10" s="796"/>
      <c r="BG10" s="796"/>
      <c r="BH10" s="89"/>
    </row>
    <row r="11" spans="1:60" s="649" customFormat="1" x14ac:dyDescent="0.25">
      <c r="A11" s="838" t="s">
        <v>683</v>
      </c>
      <c r="B11" s="643"/>
      <c r="C11" s="165"/>
      <c r="D11" s="165"/>
      <c r="E11" s="165"/>
      <c r="F11" s="165"/>
      <c r="G11" s="474"/>
      <c r="H11" s="474"/>
      <c r="I11" s="474"/>
      <c r="J11" s="474"/>
      <c r="K11" s="165">
        <f t="shared" ref="K11:BD11" si="15">K9/F9-1</f>
        <v>0.36462141422125605</v>
      </c>
      <c r="L11" s="474">
        <f t="shared" si="15"/>
        <v>0.34715570610909929</v>
      </c>
      <c r="M11" s="474">
        <f t="shared" si="15"/>
        <v>0.34665244963241482</v>
      </c>
      <c r="N11" s="474">
        <f t="shared" si="15"/>
        <v>0.33268436422952452</v>
      </c>
      <c r="O11" s="474">
        <f t="shared" si="15"/>
        <v>0.31476565139740309</v>
      </c>
      <c r="P11" s="165">
        <f t="shared" si="15"/>
        <v>0.31476565139740309</v>
      </c>
      <c r="Q11" s="474">
        <f t="shared" si="15"/>
        <v>0.29235671551200904</v>
      </c>
      <c r="R11" s="474">
        <f t="shared" si="15"/>
        <v>0.30659276546091019</v>
      </c>
      <c r="S11" s="474">
        <f t="shared" si="15"/>
        <v>0.30333241205038108</v>
      </c>
      <c r="T11" s="474">
        <f t="shared" si="15"/>
        <v>0.30037080549232686</v>
      </c>
      <c r="U11" s="165">
        <f t="shared" si="15"/>
        <v>0.30037080549232686</v>
      </c>
      <c r="V11" s="474">
        <f t="shared" si="15"/>
        <v>0.30339321357285431</v>
      </c>
      <c r="W11" s="474">
        <f t="shared" si="15"/>
        <v>0.27413644627308398</v>
      </c>
      <c r="X11" s="474">
        <f t="shared" si="15"/>
        <v>0.26142474136233518</v>
      </c>
      <c r="Y11" s="474">
        <f t="shared" si="15"/>
        <v>0.25764056522537016</v>
      </c>
      <c r="Z11" s="165">
        <f t="shared" si="15"/>
        <v>0.25764056522537016</v>
      </c>
      <c r="AA11" s="474">
        <f t="shared" si="15"/>
        <v>0.21434362412652663</v>
      </c>
      <c r="AB11" s="474">
        <f t="shared" si="15"/>
        <v>0.23956142985881645</v>
      </c>
      <c r="AC11" s="474">
        <f t="shared" si="15"/>
        <v>0.24910540598957698</v>
      </c>
      <c r="AD11" s="474">
        <f t="shared" si="15"/>
        <v>0.24193512178695697</v>
      </c>
      <c r="AE11" s="165">
        <f t="shared" si="15"/>
        <v>0.24193512178695697</v>
      </c>
      <c r="AF11" s="436">
        <f t="shared" si="15"/>
        <v>0.26004895986774468</v>
      </c>
      <c r="AG11" s="436">
        <f t="shared" si="15"/>
        <v>0.25564441213296174</v>
      </c>
      <c r="AH11" s="436">
        <f t="shared" si="15"/>
        <v>0.25378041394691553</v>
      </c>
      <c r="AI11" s="436">
        <f t="shared" si="15"/>
        <v>0.25862224793029909</v>
      </c>
      <c r="AJ11" s="435">
        <f t="shared" si="15"/>
        <v>0.25862224793029909</v>
      </c>
      <c r="AK11" s="436">
        <f t="shared" si="15"/>
        <v>0.25198062269768373</v>
      </c>
      <c r="AL11" s="436">
        <f t="shared" si="15"/>
        <v>0.21879473117069015</v>
      </c>
      <c r="AM11" s="436">
        <f t="shared" si="15"/>
        <v>0.21401297327138069</v>
      </c>
      <c r="AN11" s="436">
        <f t="shared" si="15"/>
        <v>0.19985063801980485</v>
      </c>
      <c r="AO11" s="435">
        <f t="shared" si="15"/>
        <v>0.19985063801980485</v>
      </c>
      <c r="AP11" s="436">
        <f t="shared" si="15"/>
        <v>0.2283508998206405</v>
      </c>
      <c r="AQ11" s="436">
        <f t="shared" si="15"/>
        <v>0.27305657090827506</v>
      </c>
      <c r="AR11" s="436">
        <f t="shared" si="15"/>
        <v>0.23252744198971786</v>
      </c>
      <c r="AS11" s="436">
        <f t="shared" si="15"/>
        <v>0.2188820396193667</v>
      </c>
      <c r="AT11" s="435">
        <f t="shared" si="15"/>
        <v>0.2188820396193667</v>
      </c>
      <c r="AU11" s="436">
        <f t="shared" si="15"/>
        <v>0.13553287833048966</v>
      </c>
      <c r="AV11" s="436">
        <f t="shared" si="15"/>
        <v>8.4131911872172171E-2</v>
      </c>
      <c r="AW11" s="596">
        <f t="shared" si="15"/>
        <v>9.434745402278244E-2</v>
      </c>
      <c r="AX11" s="436">
        <f t="shared" si="15"/>
        <v>8.8064547806916194E-2</v>
      </c>
      <c r="AY11" s="435">
        <f t="shared" si="15"/>
        <v>8.8064547806916194E-2</v>
      </c>
      <c r="AZ11" s="436">
        <f t="shared" si="15"/>
        <v>8.9465396192430102E-2</v>
      </c>
      <c r="BA11" s="436">
        <f t="shared" si="15"/>
        <v>0.10428064243235502</v>
      </c>
      <c r="BB11" s="436">
        <f t="shared" si="15"/>
        <v>0.1047801101391157</v>
      </c>
      <c r="BC11" s="436">
        <f t="shared" si="15"/>
        <v>8.9634362069894946E-2</v>
      </c>
      <c r="BD11" s="435">
        <f t="shared" si="15"/>
        <v>8.9634362069894946E-2</v>
      </c>
      <c r="BE11" s="435">
        <f>BE9/BD9-1</f>
        <v>0.113364689185111</v>
      </c>
      <c r="BF11" s="435">
        <f>BF9/BE9-1</f>
        <v>0.11323718945773131</v>
      </c>
      <c r="BG11" s="435">
        <f>BG9/BF9-1</f>
        <v>0.11794775075385644</v>
      </c>
      <c r="BH11" s="648"/>
    </row>
    <row r="12" spans="1:60" s="376" customFormat="1" x14ac:dyDescent="0.25">
      <c r="A12" s="486" t="s">
        <v>680</v>
      </c>
      <c r="B12" s="736"/>
      <c r="C12" s="440"/>
      <c r="D12" s="440"/>
      <c r="E12" s="440"/>
      <c r="F12" s="440"/>
      <c r="G12" s="439">
        <f>AVERAGE(G9,G7)</f>
        <v>32303.5</v>
      </c>
      <c r="H12" s="439">
        <f t="shared" ref="H12:J12" si="16">AVERAGE(H9,H7)</f>
        <v>34941</v>
      </c>
      <c r="I12" s="439">
        <f t="shared" si="16"/>
        <v>36823.5</v>
      </c>
      <c r="J12" s="439">
        <f t="shared" si="16"/>
        <v>39721.5</v>
      </c>
      <c r="K12" s="440">
        <f>AVERAGE(G12,H12,I12,J12)</f>
        <v>35947.375</v>
      </c>
      <c r="L12" s="439">
        <f t="shared" ref="L12:O12" si="17">AVERAGE(L9,L7)</f>
        <v>43783</v>
      </c>
      <c r="M12" s="439">
        <f t="shared" si="17"/>
        <v>47062</v>
      </c>
      <c r="N12" s="439">
        <f t="shared" si="17"/>
        <v>49323</v>
      </c>
      <c r="O12" s="439">
        <f t="shared" si="17"/>
        <v>52565</v>
      </c>
      <c r="P12" s="440">
        <f>AVERAGE(L12,M12,N12,O12)</f>
        <v>48183.25</v>
      </c>
      <c r="Q12" s="439">
        <f t="shared" ref="Q12:T12" si="18">AVERAGE(Q9,Q7)</f>
        <v>57047.5</v>
      </c>
      <c r="R12" s="439">
        <f t="shared" si="18"/>
        <v>61162.5</v>
      </c>
      <c r="S12" s="439">
        <f t="shared" si="18"/>
        <v>64362.5</v>
      </c>
      <c r="T12" s="439">
        <f t="shared" si="18"/>
        <v>68429</v>
      </c>
      <c r="U12" s="440">
        <f>AVERAGE(Q12,R12,S12,T12)</f>
        <v>62750.375</v>
      </c>
      <c r="V12" s="439">
        <f t="shared" ref="V12:Y12" si="19">AVERAGE(V9,V7)</f>
        <v>74273</v>
      </c>
      <c r="W12" s="439">
        <f t="shared" si="19"/>
        <v>78801.5</v>
      </c>
      <c r="X12" s="439">
        <f t="shared" si="19"/>
        <v>81587</v>
      </c>
      <c r="Y12" s="439">
        <f t="shared" si="19"/>
        <v>86184</v>
      </c>
      <c r="Z12" s="440">
        <f>AVERAGE(V12,W12,X12,Y12)</f>
        <v>80211.375</v>
      </c>
      <c r="AA12" s="439">
        <f t="shared" ref="AA12:AD12" si="20">AVERAGE(AA9,AA7)</f>
        <v>91726.5</v>
      </c>
      <c r="AB12" s="439">
        <f t="shared" si="20"/>
        <v>96699.5</v>
      </c>
      <c r="AC12" s="439">
        <f t="shared" si="20"/>
        <v>101529.5</v>
      </c>
      <c r="AD12" s="439">
        <f t="shared" si="20"/>
        <v>107333.5</v>
      </c>
      <c r="AE12" s="440">
        <f>AVERAGE(AA12,AB12,AC12,AD12)</f>
        <v>99322.25</v>
      </c>
      <c r="AF12" s="439">
        <f t="shared" ref="AF12:AI12" si="21">AVERAGE(AF9,AF7)</f>
        <v>114773</v>
      </c>
      <c r="AG12" s="439">
        <f t="shared" si="21"/>
        <v>121628</v>
      </c>
      <c r="AH12" s="439">
        <f t="shared" si="21"/>
        <v>127388</v>
      </c>
      <c r="AI12" s="439">
        <f t="shared" si="21"/>
        <v>134840.5</v>
      </c>
      <c r="AJ12" s="440">
        <f>AVERAGE(AF12,AG12,AH12,AI12)</f>
        <v>124657.375</v>
      </c>
      <c r="AK12" s="439">
        <f t="shared" ref="AK12:AN12" si="22">AVERAGE(AK9,AK7)</f>
        <v>144061</v>
      </c>
      <c r="AL12" s="439">
        <f t="shared" si="22"/>
        <v>150212.5</v>
      </c>
      <c r="AM12" s="439">
        <f t="shared" si="22"/>
        <v>154948</v>
      </c>
      <c r="AN12" s="439">
        <f t="shared" si="22"/>
        <v>162712</v>
      </c>
      <c r="AO12" s="440">
        <f>AVERAGE(AK12,AL12,AM12,AN12)</f>
        <v>152983.375</v>
      </c>
      <c r="AP12" s="439">
        <f t="shared" ref="AP12:AS12" si="23">AVERAGE(AP9,AP7)</f>
        <v>174973</v>
      </c>
      <c r="AQ12" s="439">
        <f t="shared" si="23"/>
        <v>187901.5</v>
      </c>
      <c r="AR12" s="439">
        <f t="shared" si="23"/>
        <v>194049</v>
      </c>
      <c r="AS12" s="439">
        <f t="shared" si="23"/>
        <v>199407</v>
      </c>
      <c r="AT12" s="440">
        <f>AVERAGE(AP12,AQ12,AR12,AS12)</f>
        <v>189082.625</v>
      </c>
      <c r="AU12" s="439">
        <f t="shared" ref="AU12:AX12" si="24">AVERAGE(AU9,AU7)</f>
        <v>205651</v>
      </c>
      <c r="AV12" s="439">
        <f t="shared" si="24"/>
        <v>208409.5</v>
      </c>
      <c r="AW12" s="583">
        <f t="shared" si="24"/>
        <v>211371.5</v>
      </c>
      <c r="AX12" s="439">
        <f t="shared" si="24"/>
        <v>217580.745</v>
      </c>
      <c r="AY12" s="440">
        <f>AVERAGE(AU12,AV12,AW12,AX12)</f>
        <v>210753.18625</v>
      </c>
      <c r="AZ12" s="439">
        <f t="shared" ref="AZ12:BC12" si="25">AVERAGE(AZ9,AZ7)</f>
        <v>223906.99770000001</v>
      </c>
      <c r="BA12" s="439">
        <f t="shared" si="25"/>
        <v>228604.465092</v>
      </c>
      <c r="BB12" s="439">
        <f t="shared" si="25"/>
        <v>233466.78972281999</v>
      </c>
      <c r="BC12" s="439">
        <f t="shared" si="25"/>
        <v>238700.74197422096</v>
      </c>
      <c r="BD12" s="440">
        <f>AVERAGE(AZ12,BA12,BB12,BC12)</f>
        <v>231169.74862226026</v>
      </c>
      <c r="BE12" s="440">
        <f t="shared" ref="BE12:BG12" si="26">AVERAGE(BE9,BE7)</f>
        <v>255147.92355921306</v>
      </c>
      <c r="BF12" s="440">
        <f t="shared" si="26"/>
        <v>284055.55044586281</v>
      </c>
      <c r="BG12" s="440">
        <f t="shared" si="26"/>
        <v>316926.08297272085</v>
      </c>
      <c r="BH12" s="89"/>
    </row>
    <row r="13" spans="1:60" s="376" customFormat="1" x14ac:dyDescent="0.25">
      <c r="A13" s="681" t="s">
        <v>684</v>
      </c>
      <c r="B13" s="754"/>
      <c r="C13" s="165"/>
      <c r="D13" s="165"/>
      <c r="E13" s="165"/>
      <c r="F13" s="165"/>
      <c r="G13" s="474"/>
      <c r="H13" s="474">
        <f>H12/G12-1</f>
        <v>8.1647499496958487E-2</v>
      </c>
      <c r="I13" s="474">
        <f>I12/H12-1</f>
        <v>5.3876534729973447E-2</v>
      </c>
      <c r="J13" s="474">
        <f>J12/I12-1</f>
        <v>7.8699743370401976E-2</v>
      </c>
      <c r="K13" s="165"/>
      <c r="L13" s="474">
        <f>L12/J12-1</f>
        <v>0.10224941152776212</v>
      </c>
      <c r="M13" s="474">
        <f>M12/L12-1</f>
        <v>7.4892081401457089E-2</v>
      </c>
      <c r="N13" s="474">
        <f>N12/M12-1</f>
        <v>4.8043007097021029E-2</v>
      </c>
      <c r="O13" s="474">
        <f>O12/N12-1</f>
        <v>6.5729983983131568E-2</v>
      </c>
      <c r="P13" s="165"/>
      <c r="Q13" s="474">
        <f>Q12/O12-1</f>
        <v>8.5275373347284411E-2</v>
      </c>
      <c r="R13" s="474">
        <f>R12/Q12-1</f>
        <v>7.2132871729698955E-2</v>
      </c>
      <c r="S13" s="474">
        <f>S12/R12-1</f>
        <v>5.2319640302472825E-2</v>
      </c>
      <c r="T13" s="474">
        <f>T12/S12-1</f>
        <v>6.3181200233054957E-2</v>
      </c>
      <c r="U13" s="165"/>
      <c r="V13" s="474">
        <f>V12/T12-1</f>
        <v>8.5402387876485131E-2</v>
      </c>
      <c r="W13" s="474">
        <f>W12/V12-1</f>
        <v>6.0971012346343834E-2</v>
      </c>
      <c r="X13" s="474">
        <f>X12/W12-1</f>
        <v>3.5348311897616114E-2</v>
      </c>
      <c r="Y13" s="474">
        <f>Y12/X12-1</f>
        <v>5.6344760807481631E-2</v>
      </c>
      <c r="Z13" s="165"/>
      <c r="AA13" s="474">
        <f>AA12/Y12-1</f>
        <v>6.4310080757449262E-2</v>
      </c>
      <c r="AB13" s="474">
        <f>AB12/AA12-1</f>
        <v>5.4215521141654843E-2</v>
      </c>
      <c r="AC13" s="474">
        <f>AC12/AB12-1</f>
        <v>4.9948551957352372E-2</v>
      </c>
      <c r="AD13" s="474">
        <f>AD12/AC12-1</f>
        <v>5.7165651362411918E-2</v>
      </c>
      <c r="AE13" s="165"/>
      <c r="AF13" s="474">
        <f>AF12/AD12-1</f>
        <v>6.9312004173906594E-2</v>
      </c>
      <c r="AG13" s="474">
        <f>AG12/AF12-1</f>
        <v>5.9726590748695241E-2</v>
      </c>
      <c r="AH13" s="474">
        <f>AH12/AG12-1</f>
        <v>4.7357516361364205E-2</v>
      </c>
      <c r="AI13" s="474">
        <f>AI12/AH12-1</f>
        <v>5.8502370709957008E-2</v>
      </c>
      <c r="AJ13" s="165"/>
      <c r="AK13" s="474">
        <f>AK12/AI12-1</f>
        <v>6.838079063782776E-2</v>
      </c>
      <c r="AL13" s="474">
        <f>AL12/AK12-1</f>
        <v>4.2700661525326034E-2</v>
      </c>
      <c r="AM13" s="474">
        <f>AM12/AL12-1</f>
        <v>3.1525339102937533E-2</v>
      </c>
      <c r="AN13" s="474">
        <f>AN12/AM12-1</f>
        <v>5.0107132715491609E-2</v>
      </c>
      <c r="AO13" s="165"/>
      <c r="AP13" s="474">
        <f>AP12/AN12-1</f>
        <v>7.5353999705000341E-2</v>
      </c>
      <c r="AQ13" s="474">
        <f>AQ12/AP12-1</f>
        <v>7.3888542803746793E-2</v>
      </c>
      <c r="AR13" s="474">
        <f>AR12/AQ12-1</f>
        <v>3.2716609500190286E-2</v>
      </c>
      <c r="AS13" s="474">
        <f>AS12/AR12-1</f>
        <v>2.7611582641497767E-2</v>
      </c>
      <c r="AT13" s="165"/>
      <c r="AU13" s="474">
        <f>AU12/AS12-1</f>
        <v>3.1312842578244515E-2</v>
      </c>
      <c r="AV13" s="474">
        <f>AV12/AU12-1</f>
        <v>1.3413501514702109E-2</v>
      </c>
      <c r="AW13" s="598">
        <f>AW12/AV12-1</f>
        <v>1.4212403945117691E-2</v>
      </c>
      <c r="AX13" s="474">
        <f>AX12/AW12-1</f>
        <v>2.9375980205467611E-2</v>
      </c>
      <c r="AY13" s="165"/>
      <c r="AZ13" s="474">
        <f>AZ12/AX12-1</f>
        <v>2.9075425309349034E-2</v>
      </c>
      <c r="BA13" s="474">
        <f>BA12/AZ12-1</f>
        <v>2.0979547045214986E-2</v>
      </c>
      <c r="BB13" s="474">
        <f>BB12/BA12-1</f>
        <v>2.1269596063502982E-2</v>
      </c>
      <c r="BC13" s="474">
        <f>BC12/BB12-1</f>
        <v>2.2418401596282278E-2</v>
      </c>
      <c r="BD13" s="165"/>
      <c r="BE13" s="165"/>
      <c r="BF13" s="165"/>
      <c r="BG13" s="165"/>
      <c r="BH13" s="89"/>
    </row>
    <row r="14" spans="1:60" s="376" customFormat="1" x14ac:dyDescent="0.25">
      <c r="A14" s="681" t="s">
        <v>685</v>
      </c>
      <c r="B14" s="754"/>
      <c r="C14" s="165"/>
      <c r="D14" s="165"/>
      <c r="E14" s="165"/>
      <c r="F14" s="165"/>
      <c r="G14" s="474"/>
      <c r="H14" s="474"/>
      <c r="I14" s="474"/>
      <c r="J14" s="474"/>
      <c r="K14" s="165"/>
      <c r="L14" s="474">
        <f t="shared" ref="L14:BD14" si="27">L12/G12-1</f>
        <v>0.35536396984846852</v>
      </c>
      <c r="M14" s="474">
        <f t="shared" si="27"/>
        <v>0.34689905841275293</v>
      </c>
      <c r="N14" s="474">
        <f t="shared" si="27"/>
        <v>0.33944356185587998</v>
      </c>
      <c r="O14" s="474">
        <f t="shared" si="27"/>
        <v>0.32333874601915835</v>
      </c>
      <c r="P14" s="165">
        <f t="shared" si="27"/>
        <v>0.34038299041306908</v>
      </c>
      <c r="Q14" s="474">
        <f t="shared" si="27"/>
        <v>0.30296005298860296</v>
      </c>
      <c r="R14" s="474">
        <f t="shared" si="27"/>
        <v>0.29961540096043526</v>
      </c>
      <c r="S14" s="474">
        <f t="shared" si="27"/>
        <v>0.30491859781440711</v>
      </c>
      <c r="T14" s="474">
        <f t="shared" si="27"/>
        <v>0.30179777418434317</v>
      </c>
      <c r="U14" s="165">
        <f t="shared" si="27"/>
        <v>0.3023275723410106</v>
      </c>
      <c r="V14" s="474">
        <f t="shared" si="27"/>
        <v>0.30195012927823295</v>
      </c>
      <c r="W14" s="474">
        <f t="shared" si="27"/>
        <v>0.28839566727978738</v>
      </c>
      <c r="X14" s="474">
        <f t="shared" si="27"/>
        <v>0.26761701301223528</v>
      </c>
      <c r="Y14" s="474">
        <f t="shared" si="27"/>
        <v>0.25946601587046425</v>
      </c>
      <c r="Z14" s="165">
        <f t="shared" si="27"/>
        <v>0.27826128529112371</v>
      </c>
      <c r="AA14" s="474">
        <f t="shared" si="27"/>
        <v>0.23499118118293327</v>
      </c>
      <c r="AB14" s="474">
        <f t="shared" si="27"/>
        <v>0.22712765619943776</v>
      </c>
      <c r="AC14" s="474">
        <f t="shared" si="27"/>
        <v>0.24443232377707225</v>
      </c>
      <c r="AD14" s="474">
        <f t="shared" si="27"/>
        <v>0.24539937807481671</v>
      </c>
      <c r="AE14" s="165">
        <f t="shared" si="27"/>
        <v>0.23825641936695385</v>
      </c>
      <c r="AF14" s="474">
        <f t="shared" si="27"/>
        <v>0.25125236436580489</v>
      </c>
      <c r="AG14" s="474">
        <f t="shared" si="27"/>
        <v>0.25779347359603721</v>
      </c>
      <c r="AH14" s="474">
        <f t="shared" si="27"/>
        <v>0.25468952373448106</v>
      </c>
      <c r="AI14" s="474">
        <f t="shared" si="27"/>
        <v>0.25627599957142921</v>
      </c>
      <c r="AJ14" s="165">
        <f t="shared" si="27"/>
        <v>0.25508005507325904</v>
      </c>
      <c r="AK14" s="474">
        <f t="shared" si="27"/>
        <v>0.2551819678844327</v>
      </c>
      <c r="AL14" s="474">
        <f t="shared" si="27"/>
        <v>0.23501578583878713</v>
      </c>
      <c r="AM14" s="474">
        <f t="shared" si="27"/>
        <v>0.21634690865701645</v>
      </c>
      <c r="AN14" s="474">
        <f t="shared" si="27"/>
        <v>0.20669976750308705</v>
      </c>
      <c r="AO14" s="165">
        <f t="shared" si="27"/>
        <v>0.22723083973170466</v>
      </c>
      <c r="AP14" s="474">
        <f t="shared" si="27"/>
        <v>0.21457576998632533</v>
      </c>
      <c r="AQ14" s="474">
        <f t="shared" si="27"/>
        <v>0.25090455188482985</v>
      </c>
      <c r="AR14" s="474">
        <f t="shared" si="27"/>
        <v>0.25234917520716627</v>
      </c>
      <c r="AS14" s="474">
        <f t="shared" si="27"/>
        <v>0.22552116623236151</v>
      </c>
      <c r="AT14" s="165">
        <f t="shared" si="27"/>
        <v>0.23596845082022799</v>
      </c>
      <c r="AU14" s="474">
        <f t="shared" si="27"/>
        <v>0.17532990804295512</v>
      </c>
      <c r="AV14" s="474">
        <f t="shared" si="27"/>
        <v>0.10914228997639719</v>
      </c>
      <c r="AW14" s="598">
        <f t="shared" si="27"/>
        <v>8.9268689866992323E-2</v>
      </c>
      <c r="AX14" s="474">
        <f t="shared" si="27"/>
        <v>9.1138951992658201E-2</v>
      </c>
      <c r="AY14" s="165">
        <f t="shared" si="27"/>
        <v>0.114608950716651</v>
      </c>
      <c r="AZ14" s="474">
        <f t="shared" si="27"/>
        <v>8.8771742904240725E-2</v>
      </c>
      <c r="BA14" s="474">
        <f t="shared" si="27"/>
        <v>9.6900405653293165E-2</v>
      </c>
      <c r="BB14" s="474">
        <f t="shared" si="27"/>
        <v>0.10453296552666735</v>
      </c>
      <c r="BC14" s="474">
        <f t="shared" si="27"/>
        <v>9.7067398929169713E-2</v>
      </c>
      <c r="BD14" s="165">
        <f t="shared" si="27"/>
        <v>9.6874276187889796E-2</v>
      </c>
      <c r="BE14" s="165">
        <f>BE12/BD12-1</f>
        <v>0.10372540126837282</v>
      </c>
      <c r="BF14" s="165">
        <f>BF12/BE12-1</f>
        <v>0.11329751966388657</v>
      </c>
      <c r="BG14" s="165">
        <f>BG12/BF12-1</f>
        <v>0.11571867712235639</v>
      </c>
      <c r="BH14" s="89"/>
    </row>
    <row r="15" spans="1:60" s="57" customFormat="1" x14ac:dyDescent="0.25">
      <c r="A15" s="481"/>
      <c r="B15" s="482"/>
      <c r="C15" s="547"/>
      <c r="D15" s="547"/>
      <c r="E15" s="547"/>
      <c r="F15" s="547"/>
      <c r="G15" s="483"/>
      <c r="H15" s="483"/>
      <c r="I15" s="483"/>
      <c r="J15" s="483"/>
      <c r="K15" s="547"/>
      <c r="L15" s="483"/>
      <c r="M15" s="483"/>
      <c r="N15" s="483"/>
      <c r="O15" s="483"/>
      <c r="P15" s="547"/>
      <c r="Q15" s="483"/>
      <c r="R15" s="483"/>
      <c r="S15" s="483"/>
      <c r="T15" s="483"/>
      <c r="U15" s="547"/>
      <c r="V15" s="483"/>
      <c r="W15" s="483"/>
      <c r="X15" s="483"/>
      <c r="Y15" s="483"/>
      <c r="Z15" s="547"/>
      <c r="AA15" s="483"/>
      <c r="AB15" s="483"/>
      <c r="AC15" s="483"/>
      <c r="AD15" s="483"/>
      <c r="AE15" s="547"/>
      <c r="AF15" s="483"/>
      <c r="AG15" s="483"/>
      <c r="AH15" s="483"/>
      <c r="AI15" s="483"/>
      <c r="AJ15" s="547"/>
      <c r="AK15" s="483"/>
      <c r="AL15" s="483"/>
      <c r="AM15" s="483"/>
      <c r="AN15" s="483"/>
      <c r="AO15" s="547"/>
      <c r="AP15" s="483"/>
      <c r="AQ15" s="483"/>
      <c r="AR15" s="483"/>
      <c r="AS15" s="483"/>
      <c r="AT15" s="547"/>
      <c r="AU15" s="483"/>
      <c r="AV15" s="483"/>
      <c r="AW15" s="571"/>
      <c r="AX15" s="483"/>
      <c r="AY15" s="547"/>
      <c r="AZ15" s="483"/>
      <c r="BA15" s="483"/>
      <c r="BB15" s="483"/>
      <c r="BC15" s="483"/>
      <c r="BD15" s="547"/>
      <c r="BE15" s="547"/>
      <c r="BF15" s="547"/>
      <c r="BG15" s="547"/>
      <c r="BH15" s="383"/>
    </row>
    <row r="16" spans="1:60" s="657" customFormat="1" x14ac:dyDescent="0.25">
      <c r="A16" s="767" t="s">
        <v>651</v>
      </c>
      <c r="B16" s="737"/>
      <c r="C16" s="738"/>
      <c r="D16" s="738"/>
      <c r="E16" s="738"/>
      <c r="F16" s="738"/>
      <c r="G16" s="739"/>
      <c r="H16" s="739"/>
      <c r="I16" s="739"/>
      <c r="J16" s="739"/>
      <c r="K16" s="738"/>
      <c r="L16" s="739"/>
      <c r="M16" s="739"/>
      <c r="N16" s="739"/>
      <c r="O16" s="739"/>
      <c r="P16" s="738"/>
      <c r="Q16" s="739"/>
      <c r="R16" s="739"/>
      <c r="S16" s="739"/>
      <c r="T16" s="739"/>
      <c r="U16" s="738"/>
      <c r="V16" s="739"/>
      <c r="W16" s="739"/>
      <c r="X16" s="739"/>
      <c r="Y16" s="739"/>
      <c r="Z16" s="738"/>
      <c r="AA16" s="739">
        <f t="shared" ref="AA16:BG16" si="28">AA181</f>
        <v>9.1439987353709125</v>
      </c>
      <c r="AB16" s="739">
        <f t="shared" si="28"/>
        <v>9.2062764888477542</v>
      </c>
      <c r="AC16" s="739">
        <f t="shared" si="28"/>
        <v>9.4377988663393406</v>
      </c>
      <c r="AD16" s="739">
        <f t="shared" si="28"/>
        <v>9.8776337303824064</v>
      </c>
      <c r="AE16" s="738">
        <f t="shared" si="28"/>
        <v>9.416426955235103</v>
      </c>
      <c r="AF16" s="739">
        <f t="shared" si="28"/>
        <v>10.461534216816384</v>
      </c>
      <c r="AG16" s="739">
        <f t="shared" si="28"/>
        <v>10.453640060950876</v>
      </c>
      <c r="AH16" s="739">
        <f t="shared" si="28"/>
        <v>10.232771794308201</v>
      </c>
      <c r="AI16" s="739">
        <f t="shared" si="28"/>
        <v>10.13959455801484</v>
      </c>
      <c r="AJ16" s="738">
        <f t="shared" si="28"/>
        <v>10.321885157522576</v>
      </c>
      <c r="AK16" s="739">
        <f t="shared" si="28"/>
        <v>10.274129246175809</v>
      </c>
      <c r="AL16" s="739">
        <f t="shared" si="28"/>
        <v>10.755687220881528</v>
      </c>
      <c r="AM16" s="739">
        <f t="shared" si="28"/>
        <v>11.128524838440422</v>
      </c>
      <c r="AN16" s="739">
        <f t="shared" si="28"/>
        <v>11.060405296884475</v>
      </c>
      <c r="AO16" s="738">
        <f t="shared" si="28"/>
        <v>10.804686650595558</v>
      </c>
      <c r="AP16" s="739">
        <f t="shared" si="28"/>
        <v>10.86522492041629</v>
      </c>
      <c r="AQ16" s="739">
        <f t="shared" si="28"/>
        <v>10.797705180639859</v>
      </c>
      <c r="AR16" s="739">
        <f t="shared" si="28"/>
        <v>10.953939468897032</v>
      </c>
      <c r="AS16" s="739">
        <f t="shared" si="28"/>
        <v>11.015651406420039</v>
      </c>
      <c r="AT16" s="738">
        <f t="shared" si="28"/>
        <v>10.908130244093305</v>
      </c>
      <c r="AU16" s="739">
        <f t="shared" si="28"/>
        <v>11.530387241815829</v>
      </c>
      <c r="AV16" s="739">
        <f t="shared" si="28"/>
        <v>11.66850999274665</v>
      </c>
      <c r="AW16" s="740">
        <f t="shared" si="28"/>
        <v>11.731690412378207</v>
      </c>
      <c r="AX16" s="739">
        <f t="shared" si="28"/>
        <v>11.767735915639044</v>
      </c>
      <c r="AY16" s="738">
        <f t="shared" si="28"/>
        <v>11.674580890644933</v>
      </c>
      <c r="AZ16" s="739">
        <f t="shared" si="28"/>
        <v>11.847147009512078</v>
      </c>
      <c r="BA16" s="739">
        <f t="shared" si="28"/>
        <v>11.940515724709622</v>
      </c>
      <c r="BB16" s="739">
        <f t="shared" si="28"/>
        <v>12.033551458528736</v>
      </c>
      <c r="BC16" s="739">
        <f t="shared" si="28"/>
        <v>12.124179159273787</v>
      </c>
      <c r="BD16" s="738">
        <f t="shared" si="28"/>
        <v>11.986348338006055</v>
      </c>
      <c r="BE16" s="738">
        <f t="shared" si="28"/>
        <v>12.274652839038302</v>
      </c>
      <c r="BF16" s="738">
        <f t="shared" si="28"/>
        <v>12.561790190307121</v>
      </c>
      <c r="BG16" s="738">
        <f t="shared" si="28"/>
        <v>12.853746276157066</v>
      </c>
      <c r="BH16" s="741"/>
    </row>
    <row r="17" spans="1:60" s="657" customFormat="1" x14ac:dyDescent="0.25">
      <c r="A17" s="742" t="s">
        <v>666</v>
      </c>
      <c r="B17" s="743"/>
      <c r="C17" s="165"/>
      <c r="D17" s="165"/>
      <c r="E17" s="165"/>
      <c r="F17" s="165"/>
      <c r="G17" s="474"/>
      <c r="H17" s="474"/>
      <c r="I17" s="474"/>
      <c r="J17" s="474"/>
      <c r="K17" s="165"/>
      <c r="L17" s="474"/>
      <c r="M17" s="474"/>
      <c r="N17" s="474"/>
      <c r="O17" s="474"/>
      <c r="P17" s="165"/>
      <c r="Q17" s="474"/>
      <c r="R17" s="474"/>
      <c r="S17" s="474"/>
      <c r="T17" s="474"/>
      <c r="U17" s="165"/>
      <c r="V17" s="474"/>
      <c r="W17" s="474"/>
      <c r="X17" s="474"/>
      <c r="Y17" s="474"/>
      <c r="Z17" s="165"/>
      <c r="AA17" s="474"/>
      <c r="AB17" s="474">
        <f>AB16/AA16-1</f>
        <v>6.8107788812281633E-3</v>
      </c>
      <c r="AC17" s="474">
        <f>AC16/AB16-1</f>
        <v>2.5148318950886095E-2</v>
      </c>
      <c r="AD17" s="474">
        <f>AD16/AC16-1</f>
        <v>4.6603542867582393E-2</v>
      </c>
      <c r="AE17" s="165"/>
      <c r="AF17" s="474">
        <f>AF16/AD16-1</f>
        <v>5.9113397233789833E-2</v>
      </c>
      <c r="AG17" s="474">
        <f>AG16/AF16-1</f>
        <v>-7.5458873449152364E-4</v>
      </c>
      <c r="AH17" s="474">
        <f>AH16/AG16-1</f>
        <v>-2.1128359629266291E-2</v>
      </c>
      <c r="AI17" s="474">
        <f>AI16/AH16-1</f>
        <v>-9.105767055724745E-3</v>
      </c>
      <c r="AJ17" s="165"/>
      <c r="AK17" s="474">
        <f>AK16/AI16-1</f>
        <v>1.3268251249220375E-2</v>
      </c>
      <c r="AL17" s="474">
        <f>AL16/AK16-1</f>
        <v>4.6870928247759958E-2</v>
      </c>
      <c r="AM17" s="474">
        <f>AM16/AL16-1</f>
        <v>3.4664230179086264E-2</v>
      </c>
      <c r="AN17" s="474">
        <f>AN16/AM16-1</f>
        <v>-6.1211654325149523E-3</v>
      </c>
      <c r="AO17" s="165"/>
      <c r="AP17" s="474">
        <f>AP16/AN16-1</f>
        <v>-1.7646765306436274E-2</v>
      </c>
      <c r="AQ17" s="474">
        <f>AQ16/AP16-1</f>
        <v>-6.2142974739122225E-3</v>
      </c>
      <c r="AR17" s="474">
        <f>AR16/AQ16-1</f>
        <v>1.4469212267186116E-2</v>
      </c>
      <c r="AS17" s="474">
        <f>AS16/AR16-1</f>
        <v>5.6337665273973325E-3</v>
      </c>
      <c r="AT17" s="165"/>
      <c r="AU17" s="474">
        <f>AU16/AS16-1</f>
        <v>4.6727680134812211E-2</v>
      </c>
      <c r="AV17" s="474">
        <f>AV16/AU16-1</f>
        <v>1.1979021001992773E-2</v>
      </c>
      <c r="AW17" s="598">
        <f>AW16/AV16-1</f>
        <v>5.4146090349864728E-3</v>
      </c>
      <c r="AX17" s="474">
        <f>AX16/AW16-1</f>
        <v>3.0724901522123371E-3</v>
      </c>
      <c r="AY17" s="165"/>
      <c r="AZ17" s="474">
        <f>AZ16/AX16-1</f>
        <v>6.7482049599276728E-3</v>
      </c>
      <c r="BA17" s="474">
        <f>BA16/AZ16-1</f>
        <v>7.8811139190371193E-3</v>
      </c>
      <c r="BB17" s="474">
        <f>BB16/BA16-1</f>
        <v>7.7916009629790395E-3</v>
      </c>
      <c r="BC17" s="474">
        <f>BC16/BB16-1</f>
        <v>7.5312513564578243E-3</v>
      </c>
      <c r="BD17" s="165"/>
      <c r="BE17" s="165"/>
      <c r="BF17" s="165"/>
      <c r="BG17" s="165"/>
      <c r="BH17" s="741"/>
    </row>
    <row r="18" spans="1:60" s="657" customFormat="1" x14ac:dyDescent="0.25">
      <c r="A18" s="742" t="s">
        <v>718</v>
      </c>
      <c r="B18" s="743"/>
      <c r="C18" s="165"/>
      <c r="D18" s="165"/>
      <c r="E18" s="165"/>
      <c r="F18" s="165"/>
      <c r="G18" s="474"/>
      <c r="H18" s="474"/>
      <c r="I18" s="474"/>
      <c r="J18" s="474"/>
      <c r="K18" s="165"/>
      <c r="L18" s="474"/>
      <c r="M18" s="474"/>
      <c r="N18" s="474"/>
      <c r="O18" s="474"/>
      <c r="P18" s="165"/>
      <c r="Q18" s="474"/>
      <c r="R18" s="474"/>
      <c r="S18" s="474"/>
      <c r="T18" s="474"/>
      <c r="U18" s="165"/>
      <c r="V18" s="474"/>
      <c r="W18" s="474"/>
      <c r="X18" s="474"/>
      <c r="Y18" s="474"/>
      <c r="Z18" s="165"/>
      <c r="AA18" s="474"/>
      <c r="AB18" s="474"/>
      <c r="AC18" s="474"/>
      <c r="AD18" s="474"/>
      <c r="AE18" s="165"/>
      <c r="AF18" s="474"/>
      <c r="AG18" s="474"/>
      <c r="AH18" s="474"/>
      <c r="AI18" s="474"/>
      <c r="AJ18" s="165"/>
      <c r="AK18" s="474">
        <v>0.03</v>
      </c>
      <c r="AL18" s="474">
        <v>0.09</v>
      </c>
      <c r="AM18" s="474">
        <v>0.12</v>
      </c>
      <c r="AN18" s="474">
        <v>0.12</v>
      </c>
      <c r="AO18" s="165"/>
      <c r="AP18" s="474">
        <v>0.08</v>
      </c>
      <c r="AQ18" s="474">
        <v>0.05</v>
      </c>
      <c r="AR18" s="474">
        <v>0.01</v>
      </c>
      <c r="AS18" s="474">
        <v>0</v>
      </c>
      <c r="AT18" s="165"/>
      <c r="AU18" s="474">
        <v>0.05</v>
      </c>
      <c r="AV18" s="474">
        <v>0.04</v>
      </c>
      <c r="AW18" s="598">
        <v>0.05</v>
      </c>
      <c r="AX18" s="474"/>
      <c r="AY18" s="165"/>
      <c r="AZ18" s="474"/>
      <c r="BA18" s="474"/>
      <c r="BB18" s="474"/>
      <c r="BC18" s="474"/>
      <c r="BD18" s="165"/>
      <c r="BE18" s="165"/>
      <c r="BF18" s="165"/>
      <c r="BG18" s="165"/>
      <c r="BH18" s="741"/>
    </row>
    <row r="19" spans="1:60" s="649" customFormat="1" x14ac:dyDescent="0.25">
      <c r="A19" s="838" t="s">
        <v>667</v>
      </c>
      <c r="B19" s="643"/>
      <c r="C19" s="165"/>
      <c r="D19" s="165"/>
      <c r="E19" s="165"/>
      <c r="F19" s="165"/>
      <c r="G19" s="474"/>
      <c r="H19" s="474"/>
      <c r="I19" s="474"/>
      <c r="J19" s="474"/>
      <c r="K19" s="165"/>
      <c r="L19" s="474"/>
      <c r="M19" s="474"/>
      <c r="N19" s="474"/>
      <c r="O19" s="474"/>
      <c r="P19" s="165"/>
      <c r="Q19" s="474"/>
      <c r="R19" s="474"/>
      <c r="S19" s="474"/>
      <c r="T19" s="474"/>
      <c r="U19" s="165"/>
      <c r="V19" s="474"/>
      <c r="W19" s="474"/>
      <c r="X19" s="474"/>
      <c r="Y19" s="474"/>
      <c r="Z19" s="165"/>
      <c r="AA19" s="474"/>
      <c r="AB19" s="474"/>
      <c r="AC19" s="474"/>
      <c r="AD19" s="474"/>
      <c r="AE19" s="165"/>
      <c r="AF19" s="436">
        <f t="shared" ref="AF19:BD19" si="29">AF16/AA16-1</f>
        <v>0.14408745228156761</v>
      </c>
      <c r="AG19" s="436">
        <f t="shared" si="29"/>
        <v>0.13549056164173923</v>
      </c>
      <c r="AH19" s="436">
        <f t="shared" si="29"/>
        <v>8.4232874553429538E-2</v>
      </c>
      <c r="AI19" s="436">
        <f t="shared" si="29"/>
        <v>2.6520605519789076E-2</v>
      </c>
      <c r="AJ19" s="435">
        <f t="shared" si="29"/>
        <v>9.6157301128330763E-2</v>
      </c>
      <c r="AK19" s="436">
        <f t="shared" si="29"/>
        <v>-1.7913717697288667E-2</v>
      </c>
      <c r="AL19" s="436">
        <f t="shared" si="29"/>
        <v>2.8893969772207484E-2</v>
      </c>
      <c r="AM19" s="436">
        <f t="shared" si="29"/>
        <v>8.7537674262458065E-2</v>
      </c>
      <c r="AN19" s="436">
        <f t="shared" si="29"/>
        <v>9.0813368680681572E-2</v>
      </c>
      <c r="AO19" s="435">
        <f t="shared" si="29"/>
        <v>4.6774546093560909E-2</v>
      </c>
      <c r="AP19" s="436">
        <f t="shared" si="29"/>
        <v>5.7532435117116698E-2</v>
      </c>
      <c r="AQ19" s="436">
        <f t="shared" si="29"/>
        <v>3.9065806670870451E-3</v>
      </c>
      <c r="AR19" s="436">
        <f t="shared" si="29"/>
        <v>-1.5688096318061229E-2</v>
      </c>
      <c r="AS19" s="436">
        <f t="shared" si="29"/>
        <v>-4.0463155972270126E-3</v>
      </c>
      <c r="AT19" s="435">
        <f t="shared" si="29"/>
        <v>9.5739558992249396E-3</v>
      </c>
      <c r="AU19" s="436">
        <f t="shared" si="29"/>
        <v>6.1219378914988409E-2</v>
      </c>
      <c r="AV19" s="436">
        <f t="shared" si="29"/>
        <v>8.0647211378592987E-2</v>
      </c>
      <c r="AW19" s="596">
        <f t="shared" si="29"/>
        <v>7.1001939137015135E-2</v>
      </c>
      <c r="AX19" s="436">
        <f t="shared" si="29"/>
        <v>6.8274174760167394E-2</v>
      </c>
      <c r="AY19" s="435">
        <f t="shared" si="29"/>
        <v>7.0264163463454876E-2</v>
      </c>
      <c r="AZ19" s="436">
        <f t="shared" si="29"/>
        <v>2.7471737163128118E-2</v>
      </c>
      <c r="BA19" s="436">
        <f t="shared" si="29"/>
        <v>2.3311093887056433E-2</v>
      </c>
      <c r="BB19" s="436">
        <f t="shared" si="29"/>
        <v>2.573039651916087E-2</v>
      </c>
      <c r="BC19" s="436">
        <f t="shared" si="29"/>
        <v>3.0289874466084665E-2</v>
      </c>
      <c r="BD19" s="435">
        <f t="shared" si="29"/>
        <v>2.6704808530723989E-2</v>
      </c>
      <c r="BE19" s="435">
        <f>BE16/BD16-1</f>
        <v>2.4052738407250862E-2</v>
      </c>
      <c r="BF19" s="435">
        <f>BF16/BE16-1</f>
        <v>2.3392706501287552E-2</v>
      </c>
      <c r="BG19" s="435">
        <f>BG16/BF16-1</f>
        <v>2.3241598643736427E-2</v>
      </c>
      <c r="BH19" s="648"/>
    </row>
    <row r="20" spans="1:60" s="649" customFormat="1" x14ac:dyDescent="0.25">
      <c r="A20" s="834"/>
      <c r="B20" s="643"/>
      <c r="C20" s="165"/>
      <c r="D20" s="165"/>
      <c r="E20" s="165"/>
      <c r="F20" s="165"/>
      <c r="G20" s="474"/>
      <c r="H20" s="474"/>
      <c r="I20" s="474"/>
      <c r="J20" s="474"/>
      <c r="K20" s="165"/>
      <c r="L20" s="474"/>
      <c r="M20" s="474"/>
      <c r="N20" s="474"/>
      <c r="O20" s="474"/>
      <c r="P20" s="165"/>
      <c r="Q20" s="474"/>
      <c r="R20" s="474"/>
      <c r="S20" s="474"/>
      <c r="T20" s="474"/>
      <c r="U20" s="165"/>
      <c r="V20" s="474"/>
      <c r="W20" s="474"/>
      <c r="X20" s="474"/>
      <c r="Y20" s="474"/>
      <c r="Z20" s="165"/>
      <c r="AA20" s="474"/>
      <c r="AB20" s="474"/>
      <c r="AC20" s="474"/>
      <c r="AD20" s="474"/>
      <c r="AE20" s="165"/>
      <c r="AF20" s="474"/>
      <c r="AG20" s="474"/>
      <c r="AH20" s="474"/>
      <c r="AI20" s="474"/>
      <c r="AJ20" s="165"/>
      <c r="AK20" s="474"/>
      <c r="AL20" s="474"/>
      <c r="AM20" s="474"/>
      <c r="AN20" s="474"/>
      <c r="AO20" s="165"/>
      <c r="AP20" s="474"/>
      <c r="AQ20" s="474"/>
      <c r="AR20" s="474"/>
      <c r="AS20" s="474"/>
      <c r="AT20" s="165"/>
      <c r="AU20" s="474"/>
      <c r="AV20" s="474"/>
      <c r="AW20" s="598"/>
      <c r="AX20" s="474"/>
      <c r="AY20" s="165"/>
      <c r="AZ20" s="474"/>
      <c r="BA20" s="474"/>
      <c r="BB20" s="474"/>
      <c r="BC20" s="474"/>
      <c r="BD20" s="165"/>
      <c r="BE20" s="165"/>
      <c r="BF20" s="165"/>
      <c r="BG20" s="165"/>
      <c r="BH20" s="648"/>
    </row>
    <row r="21" spans="1:60" s="630" customFormat="1" x14ac:dyDescent="0.25">
      <c r="A21" s="494" t="s">
        <v>448</v>
      </c>
      <c r="B21" s="255"/>
      <c r="C21" s="848"/>
      <c r="D21" s="848"/>
      <c r="E21" s="848"/>
      <c r="F21" s="848">
        <f t="shared" ref="F21:AK21" si="30">F190</f>
        <v>2472.41</v>
      </c>
      <c r="G21" s="849">
        <f t="shared" si="30"/>
        <v>780.66800000000001</v>
      </c>
      <c r="H21" s="849">
        <f t="shared" si="30"/>
        <v>836.99099999999999</v>
      </c>
      <c r="I21" s="849">
        <f t="shared" si="30"/>
        <v>884.13400000000001</v>
      </c>
      <c r="J21" s="849">
        <f t="shared" si="30"/>
        <v>961.97199999999998</v>
      </c>
      <c r="K21" s="848">
        <f t="shared" si="30"/>
        <v>3463.7649999999999</v>
      </c>
      <c r="L21" s="849">
        <f t="shared" si="30"/>
        <v>1065.7349999999999</v>
      </c>
      <c r="M21" s="849">
        <f t="shared" si="30"/>
        <v>1145.6860000000001</v>
      </c>
      <c r="N21" s="849">
        <f t="shared" si="30"/>
        <v>1222.835</v>
      </c>
      <c r="O21" s="849">
        <f t="shared" si="30"/>
        <v>1305.2390000000003</v>
      </c>
      <c r="P21" s="848">
        <f t="shared" si="30"/>
        <v>4739.4949999999999</v>
      </c>
      <c r="Q21" s="849">
        <f t="shared" si="30"/>
        <v>1399.9290000000001</v>
      </c>
      <c r="R21" s="849">
        <f t="shared" si="30"/>
        <v>1480.6759999999999</v>
      </c>
      <c r="S21" s="849">
        <f t="shared" si="30"/>
        <v>1580.8310000000001</v>
      </c>
      <c r="T21" s="849">
        <f t="shared" si="30"/>
        <v>1672.3379999999997</v>
      </c>
      <c r="U21" s="848">
        <f t="shared" si="30"/>
        <v>6133.7739999999994</v>
      </c>
      <c r="V21" s="849">
        <f t="shared" si="30"/>
        <v>1812.989</v>
      </c>
      <c r="W21" s="849">
        <f t="shared" si="30"/>
        <v>1966.472</v>
      </c>
      <c r="X21" s="849">
        <f t="shared" si="30"/>
        <v>2157.8130000000001</v>
      </c>
      <c r="Y21" s="849">
        <f t="shared" si="30"/>
        <v>2351.1279999999997</v>
      </c>
      <c r="Z21" s="848">
        <f t="shared" si="30"/>
        <v>8288.402</v>
      </c>
      <c r="AA21" s="849">
        <f t="shared" si="30"/>
        <v>2516.241</v>
      </c>
      <c r="AB21" s="849">
        <f t="shared" si="30"/>
        <v>2670.7269999999999</v>
      </c>
      <c r="AC21" s="849">
        <f t="shared" si="30"/>
        <v>2874.645</v>
      </c>
      <c r="AD21" s="849">
        <f t="shared" si="30"/>
        <v>3180.6030000000001</v>
      </c>
      <c r="AE21" s="848">
        <f t="shared" si="30"/>
        <v>11242.215999999999</v>
      </c>
      <c r="AF21" s="849">
        <f t="shared" si="30"/>
        <v>3602.1050000000005</v>
      </c>
      <c r="AG21" s="849">
        <f t="shared" si="30"/>
        <v>3814.3659999999995</v>
      </c>
      <c r="AH21" s="849">
        <f t="shared" si="30"/>
        <v>3910.5969999999998</v>
      </c>
      <c r="AI21" s="849">
        <f t="shared" si="30"/>
        <v>4101.6840000000002</v>
      </c>
      <c r="AJ21" s="848">
        <f t="shared" si="30"/>
        <v>15428.752</v>
      </c>
      <c r="AK21" s="849">
        <f t="shared" si="30"/>
        <v>4440.3040000000001</v>
      </c>
      <c r="AL21" s="849">
        <f t="shared" ref="AL21:BG21" si="31">AL190</f>
        <v>4846.9160000000002</v>
      </c>
      <c r="AM21" s="849">
        <f t="shared" si="31"/>
        <v>5173.0280000000002</v>
      </c>
      <c r="AN21" s="849">
        <f t="shared" si="31"/>
        <v>5398.982</v>
      </c>
      <c r="AO21" s="848">
        <f t="shared" si="31"/>
        <v>19859.230000000003</v>
      </c>
      <c r="AP21" s="849">
        <f t="shared" si="31"/>
        <v>5703.3629999999994</v>
      </c>
      <c r="AQ21" s="849">
        <f t="shared" si="31"/>
        <v>6086.7150000000011</v>
      </c>
      <c r="AR21" s="849">
        <f t="shared" si="31"/>
        <v>6376.8029999999999</v>
      </c>
      <c r="AS21" s="849">
        <f t="shared" si="31"/>
        <v>6589.7940000000017</v>
      </c>
      <c r="AT21" s="848">
        <f t="shared" si="31"/>
        <v>24756.674999999999</v>
      </c>
      <c r="AU21" s="849">
        <f t="shared" si="31"/>
        <v>7113.7070000000003</v>
      </c>
      <c r="AV21" s="849">
        <f t="shared" si="31"/>
        <v>7295.4849999999988</v>
      </c>
      <c r="AW21" s="850">
        <f t="shared" si="31"/>
        <v>7439.2350000000006</v>
      </c>
      <c r="AX21" s="849">
        <f t="shared" si="31"/>
        <v>7681.2982424640004</v>
      </c>
      <c r="AY21" s="848">
        <f t="shared" si="31"/>
        <v>29529.725242463999</v>
      </c>
      <c r="AZ21" s="849">
        <f t="shared" si="31"/>
        <v>7957.977354631148</v>
      </c>
      <c r="BA21" s="849">
        <f t="shared" si="31"/>
        <v>8188.9656305095732</v>
      </c>
      <c r="BB21" s="849">
        <f t="shared" si="31"/>
        <v>8428.3038839611872</v>
      </c>
      <c r="BC21" s="849">
        <f t="shared" si="31"/>
        <v>8682.1516834411177</v>
      </c>
      <c r="BD21" s="848">
        <f t="shared" si="31"/>
        <v>33257.398552543025</v>
      </c>
      <c r="BE21" s="848">
        <f t="shared" si="31"/>
        <v>37582.226211489862</v>
      </c>
      <c r="BF21" s="848">
        <f t="shared" si="31"/>
        <v>42818.954725117546</v>
      </c>
      <c r="BG21" s="848">
        <f t="shared" si="31"/>
        <v>48884.249505931868</v>
      </c>
      <c r="BH21" s="824"/>
    </row>
    <row r="22" spans="1:60" s="630" customFormat="1" x14ac:dyDescent="0.25">
      <c r="A22" s="834" t="s">
        <v>672</v>
      </c>
      <c r="B22" s="835"/>
      <c r="C22" s="165"/>
      <c r="D22" s="165"/>
      <c r="E22" s="165"/>
      <c r="F22" s="165"/>
      <c r="G22" s="474"/>
      <c r="H22" s="474">
        <f>H21/G21-1</f>
        <v>7.2147186768254823E-2</v>
      </c>
      <c r="I22" s="474">
        <f>I21/H21-1</f>
        <v>5.6324381026797266E-2</v>
      </c>
      <c r="J22" s="474">
        <f>J21/I21-1</f>
        <v>8.8038690967658706E-2</v>
      </c>
      <c r="K22" s="165"/>
      <c r="L22" s="474">
        <f>L21/J21-1</f>
        <v>0.10786488588025422</v>
      </c>
      <c r="M22" s="474">
        <f>M21/L21-1</f>
        <v>7.5019587420888101E-2</v>
      </c>
      <c r="N22" s="474">
        <f>N21/M21-1</f>
        <v>6.7338694895459961E-2</v>
      </c>
      <c r="O22" s="474">
        <f>O21/N21-1</f>
        <v>6.7387668818769786E-2</v>
      </c>
      <c r="P22" s="165"/>
      <c r="Q22" s="474">
        <f>Q21/O21-1</f>
        <v>7.2546100752429066E-2</v>
      </c>
      <c r="R22" s="474">
        <f>R21/Q21-1</f>
        <v>5.7679353738653738E-2</v>
      </c>
      <c r="S22" s="474">
        <f>S21/R21-1</f>
        <v>6.7641401630066378E-2</v>
      </c>
      <c r="T22" s="474">
        <f>T21/S21-1</f>
        <v>5.7885378006883537E-2</v>
      </c>
      <c r="U22" s="165"/>
      <c r="V22" s="474">
        <f>V21/T21-1</f>
        <v>8.4104409515301626E-2</v>
      </c>
      <c r="W22" s="474">
        <f>W21/V21-1</f>
        <v>8.4657435869715636E-2</v>
      </c>
      <c r="X22" s="474">
        <f>X21/W21-1</f>
        <v>9.7301665113970648E-2</v>
      </c>
      <c r="Y22" s="474">
        <f>Y21/X21-1</f>
        <v>8.9588393433536417E-2</v>
      </c>
      <c r="Z22" s="165"/>
      <c r="AA22" s="474">
        <f>AA21/Y21-1</f>
        <v>7.0227142035652834E-2</v>
      </c>
      <c r="AB22" s="474">
        <f>AB21/AA21-1</f>
        <v>6.1395549949309292E-2</v>
      </c>
      <c r="AC22" s="474">
        <f>AC21/AB21-1</f>
        <v>7.6352993023996785E-2</v>
      </c>
      <c r="AD22" s="474">
        <f>AD21/AC21-1</f>
        <v>0.10643331611381579</v>
      </c>
      <c r="AE22" s="165"/>
      <c r="AF22" s="474">
        <f>AF21/AD21-1</f>
        <v>0.13252266944349866</v>
      </c>
      <c r="AG22" s="474">
        <f>AG21/AF21-1</f>
        <v>5.8926933001675064E-2</v>
      </c>
      <c r="AH22" s="474">
        <f>AH21/AG21-1</f>
        <v>2.5228570095266134E-2</v>
      </c>
      <c r="AI22" s="474">
        <f>AI21/AH21-1</f>
        <v>4.8863894694339605E-2</v>
      </c>
      <c r="AJ22" s="165"/>
      <c r="AK22" s="474">
        <f>AK21/AI21-1</f>
        <v>8.2556335397851122E-2</v>
      </c>
      <c r="AL22" s="474">
        <f>AL21/AK21-1</f>
        <v>9.157300941557156E-2</v>
      </c>
      <c r="AM22" s="474">
        <f>AM21/AL21-1</f>
        <v>6.7282370893161803E-2</v>
      </c>
      <c r="AN22" s="474">
        <f>AN21/AM21-1</f>
        <v>4.3679253234275794E-2</v>
      </c>
      <c r="AO22" s="165"/>
      <c r="AP22" s="474">
        <f>AP21/AN21-1</f>
        <v>5.6377480050868733E-2</v>
      </c>
      <c r="AQ22" s="474">
        <f>AQ21/AP21-1</f>
        <v>6.7215079944938028E-2</v>
      </c>
      <c r="AR22" s="474">
        <f>AR21/AQ21-1</f>
        <v>4.7659205334897203E-2</v>
      </c>
      <c r="AS22" s="474">
        <f>AS21/AR21-1</f>
        <v>3.3400906378949102E-2</v>
      </c>
      <c r="AT22" s="165"/>
      <c r="AU22" s="474">
        <f>AU21/AS21-1</f>
        <v>7.9503699205164535E-2</v>
      </c>
      <c r="AV22" s="474">
        <f>AV21/AU21-1</f>
        <v>2.5553203133049873E-2</v>
      </c>
      <c r="AW22" s="598">
        <f>AW21/AV21-1</f>
        <v>1.9703967590914306E-2</v>
      </c>
      <c r="AX22" s="474">
        <f>AX21/AW21-1</f>
        <v>3.2538727767572828E-2</v>
      </c>
      <c r="AY22" s="165"/>
      <c r="AZ22" s="474">
        <f>AZ21/AX21-1</f>
        <v>3.6019837198561167E-2</v>
      </c>
      <c r="BA22" s="474">
        <f>BA21/AZ21-1</f>
        <v>2.9026003164485115E-2</v>
      </c>
      <c r="BB22" s="474">
        <f>BB21/BA21-1</f>
        <v>2.9226921231652714E-2</v>
      </c>
      <c r="BC22" s="474">
        <f>BC21/BB21-1</f>
        <v>3.0118491570171768E-2</v>
      </c>
      <c r="BD22" s="165"/>
      <c r="BE22" s="165"/>
      <c r="BF22" s="165"/>
      <c r="BG22" s="165"/>
      <c r="BH22" s="824"/>
    </row>
    <row r="23" spans="1:60" s="649" customFormat="1" x14ac:dyDescent="0.25">
      <c r="A23" s="838" t="s">
        <v>671</v>
      </c>
      <c r="B23" s="643"/>
      <c r="C23" s="165"/>
      <c r="D23" s="165"/>
      <c r="E23" s="165"/>
      <c r="F23" s="165"/>
      <c r="G23" s="474"/>
      <c r="H23" s="474"/>
      <c r="I23" s="474"/>
      <c r="J23" s="474"/>
      <c r="K23" s="165">
        <f t="shared" ref="K23:BD23" si="32">K21/F21-1</f>
        <v>0.40096707261336118</v>
      </c>
      <c r="L23" s="474">
        <f t="shared" si="32"/>
        <v>0.36515778794570797</v>
      </c>
      <c r="M23" s="474">
        <f t="shared" si="32"/>
        <v>0.36881519634022375</v>
      </c>
      <c r="N23" s="474">
        <f t="shared" si="32"/>
        <v>0.38308785772292442</v>
      </c>
      <c r="O23" s="474">
        <f t="shared" si="32"/>
        <v>0.35683678942838282</v>
      </c>
      <c r="P23" s="165">
        <f t="shared" si="32"/>
        <v>0.36830731877018219</v>
      </c>
      <c r="Q23" s="474">
        <f t="shared" si="32"/>
        <v>0.31358076820222691</v>
      </c>
      <c r="R23" s="474">
        <f t="shared" si="32"/>
        <v>0.29239250545088247</v>
      </c>
      <c r="S23" s="474">
        <f t="shared" si="32"/>
        <v>0.29275903944522375</v>
      </c>
      <c r="T23" s="474">
        <f t="shared" si="32"/>
        <v>0.28125040701358106</v>
      </c>
      <c r="U23" s="165">
        <f t="shared" si="32"/>
        <v>0.29418303004855995</v>
      </c>
      <c r="V23" s="474">
        <f t="shared" si="32"/>
        <v>0.29505782078948273</v>
      </c>
      <c r="W23" s="474">
        <f t="shared" si="32"/>
        <v>0.32809068290429511</v>
      </c>
      <c r="X23" s="474">
        <f t="shared" si="32"/>
        <v>0.36498651658526438</v>
      </c>
      <c r="Y23" s="474">
        <f t="shared" si="32"/>
        <v>0.40589282788527203</v>
      </c>
      <c r="Z23" s="165">
        <f t="shared" si="32"/>
        <v>0.35127280529083738</v>
      </c>
      <c r="AA23" s="474">
        <f t="shared" si="32"/>
        <v>0.3878964516607657</v>
      </c>
      <c r="AB23" s="474">
        <f t="shared" si="32"/>
        <v>0.3581312116317954</v>
      </c>
      <c r="AC23" s="474">
        <f t="shared" si="32"/>
        <v>0.3322030222266712</v>
      </c>
      <c r="AD23" s="474">
        <f t="shared" si="32"/>
        <v>0.35279874171036218</v>
      </c>
      <c r="AE23" s="165">
        <f t="shared" si="32"/>
        <v>0.35637919106722848</v>
      </c>
      <c r="AF23" s="436">
        <f t="shared" si="32"/>
        <v>0.43154212970856154</v>
      </c>
      <c r="AG23" s="436">
        <f t="shared" si="32"/>
        <v>0.42821261776287867</v>
      </c>
      <c r="AH23" s="436">
        <f t="shared" si="32"/>
        <v>0.36037562899071007</v>
      </c>
      <c r="AI23" s="436">
        <f t="shared" si="32"/>
        <v>0.28959319978004183</v>
      </c>
      <c r="AJ23" s="435">
        <f t="shared" si="32"/>
        <v>0.3723941970159621</v>
      </c>
      <c r="AK23" s="436">
        <f t="shared" si="32"/>
        <v>0.23269699245302378</v>
      </c>
      <c r="AL23" s="436">
        <f t="shared" si="32"/>
        <v>0.27070029462301215</v>
      </c>
      <c r="AM23" s="436">
        <f t="shared" si="32"/>
        <v>0.3228230881371823</v>
      </c>
      <c r="AN23" s="436">
        <f t="shared" si="32"/>
        <v>0.31628423837623765</v>
      </c>
      <c r="AO23" s="435">
        <f t="shared" si="32"/>
        <v>0.28715725030773731</v>
      </c>
      <c r="AP23" s="436">
        <f t="shared" si="32"/>
        <v>0.28445327166788559</v>
      </c>
      <c r="AQ23" s="436">
        <f t="shared" si="32"/>
        <v>0.25579131142359413</v>
      </c>
      <c r="AR23" s="436">
        <f t="shared" si="32"/>
        <v>0.23270220072267134</v>
      </c>
      <c r="AS23" s="436">
        <f t="shared" si="32"/>
        <v>0.22056232082270366</v>
      </c>
      <c r="AT23" s="435">
        <f t="shared" si="32"/>
        <v>0.24660800041089193</v>
      </c>
      <c r="AU23" s="436">
        <f t="shared" si="32"/>
        <v>0.24728287503355495</v>
      </c>
      <c r="AV23" s="436">
        <f t="shared" si="32"/>
        <v>0.19859152268506031</v>
      </c>
      <c r="AW23" s="596">
        <f t="shared" si="32"/>
        <v>0.16660887908878497</v>
      </c>
      <c r="AX23" s="436">
        <f t="shared" si="32"/>
        <v>0.16563556348863084</v>
      </c>
      <c r="AY23" s="435">
        <f t="shared" si="32"/>
        <v>0.19279851767105227</v>
      </c>
      <c r="AZ23" s="436">
        <f t="shared" si="32"/>
        <v>0.11868219405594682</v>
      </c>
      <c r="BA23" s="436">
        <f t="shared" si="32"/>
        <v>0.12247035399422712</v>
      </c>
      <c r="BB23" s="436">
        <f t="shared" si="32"/>
        <v>0.13295303669815328</v>
      </c>
      <c r="BC23" s="436">
        <f t="shared" si="32"/>
        <v>0.13029743272356842</v>
      </c>
      <c r="BD23" s="435">
        <f t="shared" si="32"/>
        <v>0.12623460866877956</v>
      </c>
      <c r="BE23" s="435">
        <f>BE21/BD21-1</f>
        <v>0.13004106897038525</v>
      </c>
      <c r="BF23" s="435">
        <f>BF21/BE21-1</f>
        <v>0.13934056178999521</v>
      </c>
      <c r="BG23" s="435">
        <f>BG21/BF21-1</f>
        <v>0.14164976281535502</v>
      </c>
      <c r="BH23" s="648"/>
    </row>
    <row r="24" spans="1:60" s="630" customFormat="1" x14ac:dyDescent="0.25">
      <c r="A24" s="494" t="s">
        <v>449</v>
      </c>
      <c r="B24" s="255"/>
      <c r="C24" s="848"/>
      <c r="D24" s="848"/>
      <c r="E24" s="848"/>
      <c r="F24" s="848">
        <f t="shared" ref="F24:AK24" si="33">F191</f>
        <v>1136.8720000000001</v>
      </c>
      <c r="G24" s="849">
        <f t="shared" si="33"/>
        <v>243.29300000000001</v>
      </c>
      <c r="H24" s="849">
        <f t="shared" si="33"/>
        <v>232.381</v>
      </c>
      <c r="I24" s="849">
        <f t="shared" si="33"/>
        <v>221.86500000000001</v>
      </c>
      <c r="J24" s="849">
        <f t="shared" si="33"/>
        <v>213.25800000000004</v>
      </c>
      <c r="K24" s="848">
        <f t="shared" si="33"/>
        <v>910.79700000000003</v>
      </c>
      <c r="L24" s="849">
        <f t="shared" si="33"/>
        <v>204.35400000000001</v>
      </c>
      <c r="M24" s="849">
        <f t="shared" si="33"/>
        <v>194.721</v>
      </c>
      <c r="N24" s="849">
        <f t="shared" si="33"/>
        <v>186.59700000000001</v>
      </c>
      <c r="O24" s="849">
        <f t="shared" si="33"/>
        <v>179.48899999999995</v>
      </c>
      <c r="P24" s="848">
        <f t="shared" si="33"/>
        <v>765.16099999999994</v>
      </c>
      <c r="Q24" s="849">
        <f t="shared" si="33"/>
        <v>173.2</v>
      </c>
      <c r="R24" s="849">
        <f t="shared" si="33"/>
        <v>164.018</v>
      </c>
      <c r="S24" s="849">
        <f t="shared" si="33"/>
        <v>157.524</v>
      </c>
      <c r="T24" s="849">
        <f t="shared" si="33"/>
        <v>150.995</v>
      </c>
      <c r="U24" s="848">
        <f t="shared" si="33"/>
        <v>645.73699999999997</v>
      </c>
      <c r="V24" s="849">
        <f t="shared" si="33"/>
        <v>144.74700000000001</v>
      </c>
      <c r="W24" s="849">
        <f t="shared" si="33"/>
        <v>138.732</v>
      </c>
      <c r="X24" s="849">
        <f t="shared" si="33"/>
        <v>132.375</v>
      </c>
      <c r="Y24" s="849">
        <f t="shared" si="33"/>
        <v>126.41300000000001</v>
      </c>
      <c r="Z24" s="848">
        <f t="shared" si="33"/>
        <v>542.26700000000005</v>
      </c>
      <c r="AA24" s="849">
        <f t="shared" si="33"/>
        <v>120.39400000000001</v>
      </c>
      <c r="AB24" s="849">
        <f t="shared" si="33"/>
        <v>114.73699999999999</v>
      </c>
      <c r="AC24" s="849">
        <f t="shared" si="33"/>
        <v>110.214</v>
      </c>
      <c r="AD24" s="849">
        <f t="shared" si="33"/>
        <v>105.15200000000002</v>
      </c>
      <c r="AE24" s="848">
        <f t="shared" si="33"/>
        <v>450.49700000000001</v>
      </c>
      <c r="AF24" s="849">
        <f t="shared" si="33"/>
        <v>98.751000000000005</v>
      </c>
      <c r="AG24" s="849">
        <f t="shared" si="33"/>
        <v>92.903999999999996</v>
      </c>
      <c r="AH24" s="849">
        <f t="shared" si="33"/>
        <v>88.777000000000001</v>
      </c>
      <c r="AI24" s="849">
        <f t="shared" si="33"/>
        <v>85.156999999999968</v>
      </c>
      <c r="AJ24" s="848">
        <f t="shared" si="33"/>
        <v>365.589</v>
      </c>
      <c r="AK24" s="849">
        <f t="shared" si="33"/>
        <v>80.688000000000002</v>
      </c>
      <c r="AL24" s="849">
        <f t="shared" ref="AL24:BG24" si="34">AL191</f>
        <v>76.2</v>
      </c>
      <c r="AM24" s="849">
        <f t="shared" si="34"/>
        <v>71.876999999999995</v>
      </c>
      <c r="AN24" s="849">
        <f t="shared" si="34"/>
        <v>68.452000000000012</v>
      </c>
      <c r="AO24" s="848">
        <f t="shared" si="34"/>
        <v>297.21699999999998</v>
      </c>
      <c r="AP24" s="849">
        <f t="shared" si="34"/>
        <v>64.328000000000003</v>
      </c>
      <c r="AQ24" s="849">
        <f t="shared" si="34"/>
        <v>61.570999999999998</v>
      </c>
      <c r="AR24" s="849">
        <f t="shared" si="34"/>
        <v>58.834000000000003</v>
      </c>
      <c r="AS24" s="849">
        <f t="shared" si="34"/>
        <v>54.647999999999996</v>
      </c>
      <c r="AT24" s="848">
        <f t="shared" si="34"/>
        <v>239.381</v>
      </c>
      <c r="AU24" s="849">
        <f t="shared" si="34"/>
        <v>49.575000000000003</v>
      </c>
      <c r="AV24" s="849">
        <f t="shared" si="34"/>
        <v>46.292000000000002</v>
      </c>
      <c r="AW24" s="850">
        <f t="shared" si="34"/>
        <v>44.231999999999999</v>
      </c>
      <c r="AX24" s="849">
        <f t="shared" si="34"/>
        <v>42.020399999999995</v>
      </c>
      <c r="AY24" s="848">
        <f t="shared" si="34"/>
        <v>182.11939999999998</v>
      </c>
      <c r="AZ24" s="849">
        <f t="shared" si="34"/>
        <v>39.919379999999997</v>
      </c>
      <c r="BA24" s="849">
        <f t="shared" si="34"/>
        <v>37.923410999999994</v>
      </c>
      <c r="BB24" s="849">
        <f t="shared" si="34"/>
        <v>36.027240449999994</v>
      </c>
      <c r="BC24" s="849">
        <f t="shared" si="34"/>
        <v>34.225878427499993</v>
      </c>
      <c r="BD24" s="848">
        <f t="shared" si="34"/>
        <v>148.09590987749999</v>
      </c>
      <c r="BE24" s="848">
        <f t="shared" si="34"/>
        <v>118.47672790199999</v>
      </c>
      <c r="BF24" s="848">
        <f t="shared" si="34"/>
        <v>94.781382321600006</v>
      </c>
      <c r="BG24" s="848">
        <f t="shared" si="34"/>
        <v>75.825105857280008</v>
      </c>
      <c r="BH24" s="824"/>
    </row>
    <row r="25" spans="1:60" s="630" customFormat="1" x14ac:dyDescent="0.25">
      <c r="A25" s="834" t="s">
        <v>649</v>
      </c>
      <c r="B25" s="835"/>
      <c r="C25" s="165"/>
      <c r="D25" s="165"/>
      <c r="E25" s="165"/>
      <c r="F25" s="165"/>
      <c r="G25" s="474"/>
      <c r="H25" s="474">
        <f>H24/G24-1</f>
        <v>-4.4851269868019239E-2</v>
      </c>
      <c r="I25" s="474">
        <f>I24/H24-1</f>
        <v>-4.5253269415313602E-2</v>
      </c>
      <c r="J25" s="474">
        <f>J24/I24-1</f>
        <v>-3.8793861131769192E-2</v>
      </c>
      <c r="K25" s="165"/>
      <c r="L25" s="474">
        <f>L24/J24-1</f>
        <v>-4.1752243761078223E-2</v>
      </c>
      <c r="M25" s="474">
        <f>M24/L24-1</f>
        <v>-4.7138788572770873E-2</v>
      </c>
      <c r="N25" s="474">
        <f>N24/M24-1</f>
        <v>-4.1721231916434287E-2</v>
      </c>
      <c r="O25" s="474">
        <f>O24/N24-1</f>
        <v>-3.8092788201311123E-2</v>
      </c>
      <c r="P25" s="165"/>
      <c r="Q25" s="474">
        <f>Q24/O24-1</f>
        <v>-3.5038358896645305E-2</v>
      </c>
      <c r="R25" s="474">
        <f>R24/Q24-1</f>
        <v>-5.3013856812932914E-2</v>
      </c>
      <c r="S25" s="474">
        <f>S24/R24-1</f>
        <v>-3.9593215378799895E-2</v>
      </c>
      <c r="T25" s="474">
        <f>T24/S24-1</f>
        <v>-4.1447652421218284E-2</v>
      </c>
      <c r="U25" s="165"/>
      <c r="V25" s="474">
        <f>V24/T24-1</f>
        <v>-4.1378853604423949E-2</v>
      </c>
      <c r="W25" s="474">
        <f>W24/V24-1</f>
        <v>-4.1555265394101482E-2</v>
      </c>
      <c r="X25" s="474">
        <f>X24/W24-1</f>
        <v>-4.5822160712741145E-2</v>
      </c>
      <c r="Y25" s="474">
        <f>Y24/X24-1</f>
        <v>-4.503871576959384E-2</v>
      </c>
      <c r="Z25" s="165"/>
      <c r="AA25" s="474">
        <f>AA24/Y24-1</f>
        <v>-4.7613773899836342E-2</v>
      </c>
      <c r="AB25" s="474">
        <f>AB24/AA24-1</f>
        <v>-4.6987391398242484E-2</v>
      </c>
      <c r="AC25" s="474">
        <f>AC24/AB24-1</f>
        <v>-3.9420587953319264E-2</v>
      </c>
      <c r="AD25" s="474">
        <f>AD24/AC24-1</f>
        <v>-4.5928829368319657E-2</v>
      </c>
      <c r="AE25" s="165"/>
      <c r="AF25" s="474">
        <f>AF24/AD24-1</f>
        <v>-6.0873782714546687E-2</v>
      </c>
      <c r="AG25" s="474">
        <f>AG24/AF24-1</f>
        <v>-5.9209526992131778E-2</v>
      </c>
      <c r="AH25" s="474">
        <f>AH24/AG24-1</f>
        <v>-4.4422199259450568E-2</v>
      </c>
      <c r="AI25" s="474">
        <f>AI24/AH24-1</f>
        <v>-4.0776327201865747E-2</v>
      </c>
      <c r="AJ25" s="165"/>
      <c r="AK25" s="474">
        <f>AK24/AI24-1</f>
        <v>-5.2479537794896114E-2</v>
      </c>
      <c r="AL25" s="474">
        <f>AL24/AK24-1</f>
        <v>-5.562165377751338E-2</v>
      </c>
      <c r="AM25" s="474">
        <f>AM24/AL24-1</f>
        <v>-5.6732283464567046E-2</v>
      </c>
      <c r="AN25" s="474">
        <f>AN24/AM24-1</f>
        <v>-4.7650847976403954E-2</v>
      </c>
      <c r="AO25" s="165"/>
      <c r="AP25" s="474">
        <f>AP24/AN24-1</f>
        <v>-6.0246596154970078E-2</v>
      </c>
      <c r="AQ25" s="474">
        <f>AQ24/AP24-1</f>
        <v>-4.2858475314015765E-2</v>
      </c>
      <c r="AR25" s="474">
        <f>AR24/AQ24-1</f>
        <v>-4.4452745610758182E-2</v>
      </c>
      <c r="AS25" s="474">
        <f>AS24/AR24-1</f>
        <v>-7.1149335418295712E-2</v>
      </c>
      <c r="AT25" s="165"/>
      <c r="AU25" s="474">
        <f>AU24/AS24-1</f>
        <v>-9.2830478700043795E-2</v>
      </c>
      <c r="AV25" s="474">
        <f>AV24/AU24-1</f>
        <v>-6.6222894604135218E-2</v>
      </c>
      <c r="AW25" s="598">
        <f>AW24/AV24-1</f>
        <v>-4.4500129612028094E-2</v>
      </c>
      <c r="AX25" s="474">
        <f>AX24/AW24-1</f>
        <v>-5.0000000000000044E-2</v>
      </c>
      <c r="AY25" s="165"/>
      <c r="AZ25" s="474">
        <f>AZ24/AX24-1</f>
        <v>-4.9999999999999933E-2</v>
      </c>
      <c r="BA25" s="474">
        <f>BA24/AZ24-1</f>
        <v>-5.0000000000000044E-2</v>
      </c>
      <c r="BB25" s="474">
        <f>BB24/BA24-1</f>
        <v>-5.0000000000000044E-2</v>
      </c>
      <c r="BC25" s="474">
        <f>BC24/BB24-1</f>
        <v>-5.0000000000000044E-2</v>
      </c>
      <c r="BD25" s="165"/>
      <c r="BE25" s="165"/>
      <c r="BF25" s="165"/>
      <c r="BG25" s="165"/>
      <c r="BH25" s="824"/>
    </row>
    <row r="26" spans="1:60" s="655" customFormat="1" x14ac:dyDescent="0.25">
      <c r="A26" s="186" t="s">
        <v>648</v>
      </c>
      <c r="B26" s="643"/>
      <c r="C26" s="165"/>
      <c r="D26" s="165"/>
      <c r="E26" s="165"/>
      <c r="F26" s="165"/>
      <c r="G26" s="474"/>
      <c r="H26" s="474"/>
      <c r="I26" s="474"/>
      <c r="J26" s="474"/>
      <c r="K26" s="165">
        <f t="shared" ref="K26:BD26" si="35">K24/F24-1</f>
        <v>-0.19885703931489207</v>
      </c>
      <c r="L26" s="474">
        <f t="shared" si="35"/>
        <v>-0.16004981647642957</v>
      </c>
      <c r="M26" s="474">
        <f t="shared" si="35"/>
        <v>-0.1620614422005241</v>
      </c>
      <c r="N26" s="474">
        <f t="shared" si="35"/>
        <v>-0.15896153066053675</v>
      </c>
      <c r="O26" s="474">
        <f t="shared" si="35"/>
        <v>-0.15834810417428691</v>
      </c>
      <c r="P26" s="165">
        <f t="shared" si="35"/>
        <v>-0.15989951657723955</v>
      </c>
      <c r="Q26" s="474">
        <f t="shared" si="35"/>
        <v>-0.15245113871027738</v>
      </c>
      <c r="R26" s="474">
        <f t="shared" si="35"/>
        <v>-0.15767688128142321</v>
      </c>
      <c r="S26" s="474">
        <f t="shared" si="35"/>
        <v>-0.15580636344635768</v>
      </c>
      <c r="T26" s="474">
        <f t="shared" si="35"/>
        <v>-0.15875067552886224</v>
      </c>
      <c r="U26" s="165">
        <f t="shared" si="35"/>
        <v>-0.15607695635297669</v>
      </c>
      <c r="V26" s="474">
        <f t="shared" si="35"/>
        <v>-0.16427829099307145</v>
      </c>
      <c r="W26" s="474">
        <f t="shared" si="35"/>
        <v>-0.15416600617005449</v>
      </c>
      <c r="X26" s="474">
        <f t="shared" si="35"/>
        <v>-0.1596518625733222</v>
      </c>
      <c r="Y26" s="474">
        <f t="shared" si="35"/>
        <v>-0.16280009271830187</v>
      </c>
      <c r="Z26" s="165">
        <f t="shared" si="35"/>
        <v>-0.16023551383922541</v>
      </c>
      <c r="AA26" s="474">
        <f t="shared" si="35"/>
        <v>-0.16824528314921905</v>
      </c>
      <c r="AB26" s="474">
        <f t="shared" si="35"/>
        <v>-0.17295937490989821</v>
      </c>
      <c r="AC26" s="474">
        <f t="shared" si="35"/>
        <v>-0.16741076487252127</v>
      </c>
      <c r="AD26" s="474">
        <f t="shared" si="35"/>
        <v>-0.16818681622934351</v>
      </c>
      <c r="AE26" s="165">
        <f t="shared" si="35"/>
        <v>-0.16923397514508542</v>
      </c>
      <c r="AF26" s="474">
        <f t="shared" si="35"/>
        <v>-0.17976809475555255</v>
      </c>
      <c r="AG26" s="474">
        <f t="shared" si="35"/>
        <v>-0.19028735281556952</v>
      </c>
      <c r="AH26" s="474">
        <f t="shared" si="35"/>
        <v>-0.19450342061807024</v>
      </c>
      <c r="AI26" s="474">
        <f t="shared" si="35"/>
        <v>-0.19015330188679291</v>
      </c>
      <c r="AJ26" s="165">
        <f t="shared" si="35"/>
        <v>-0.18847628286092921</v>
      </c>
      <c r="AK26" s="474">
        <f t="shared" si="35"/>
        <v>-0.18291460339642129</v>
      </c>
      <c r="AL26" s="474">
        <f t="shared" si="35"/>
        <v>-0.17979850167915257</v>
      </c>
      <c r="AM26" s="474">
        <f t="shared" si="35"/>
        <v>-0.19036462146727195</v>
      </c>
      <c r="AN26" s="474">
        <f t="shared" si="35"/>
        <v>-0.19616707962938995</v>
      </c>
      <c r="AO26" s="165">
        <f t="shared" si="35"/>
        <v>-0.18701875603478224</v>
      </c>
      <c r="AP26" s="474">
        <f t="shared" si="35"/>
        <v>-0.20275629585564148</v>
      </c>
      <c r="AQ26" s="474">
        <f t="shared" si="35"/>
        <v>-0.19198162729658796</v>
      </c>
      <c r="AR26" s="474">
        <f t="shared" si="35"/>
        <v>-0.18146277668795296</v>
      </c>
      <c r="AS26" s="474">
        <f t="shared" si="35"/>
        <v>-0.20165955706188299</v>
      </c>
      <c r="AT26" s="165">
        <f t="shared" si="35"/>
        <v>-0.19459183021159621</v>
      </c>
      <c r="AU26" s="474">
        <f t="shared" si="35"/>
        <v>-0.22934025618704146</v>
      </c>
      <c r="AV26" s="474">
        <f t="shared" si="35"/>
        <v>-0.2481525393448214</v>
      </c>
      <c r="AW26" s="598">
        <f t="shared" si="35"/>
        <v>-0.24818982221164643</v>
      </c>
      <c r="AX26" s="474">
        <f t="shared" si="35"/>
        <v>-0.23107158541941153</v>
      </c>
      <c r="AY26" s="165">
        <f t="shared" si="35"/>
        <v>-0.23920695460374886</v>
      </c>
      <c r="AZ26" s="474">
        <f t="shared" si="35"/>
        <v>-0.1947679273827535</v>
      </c>
      <c r="BA26" s="474">
        <f t="shared" si="35"/>
        <v>-0.18077829862611261</v>
      </c>
      <c r="BB26" s="474">
        <f t="shared" si="35"/>
        <v>-0.18549375000000012</v>
      </c>
      <c r="BC26" s="474">
        <f t="shared" si="35"/>
        <v>-0.18549375000000012</v>
      </c>
      <c r="BD26" s="165">
        <f t="shared" si="35"/>
        <v>-0.18681969149085709</v>
      </c>
      <c r="BE26" s="165">
        <f>BE24/BD24-1</f>
        <v>-0.19999999999999996</v>
      </c>
      <c r="BF26" s="165">
        <f>BF24/BE24-1</f>
        <v>-0.19999999999999996</v>
      </c>
      <c r="BG26" s="165">
        <f>BG24/BF24-1</f>
        <v>-0.19999999999999996</v>
      </c>
      <c r="BH26" s="648"/>
    </row>
    <row r="27" spans="1:60" s="802" customFormat="1" ht="7.5" customHeight="1" x14ac:dyDescent="0.25">
      <c r="A27" s="752"/>
      <c r="B27" s="745"/>
      <c r="C27" s="746"/>
      <c r="D27" s="746"/>
      <c r="E27" s="746"/>
      <c r="F27" s="746"/>
      <c r="G27" s="747"/>
      <c r="H27" s="747"/>
      <c r="I27" s="747"/>
      <c r="J27" s="747"/>
      <c r="K27" s="746"/>
      <c r="L27" s="747"/>
      <c r="M27" s="747"/>
      <c r="N27" s="747"/>
      <c r="O27" s="747"/>
      <c r="P27" s="746"/>
      <c r="Q27" s="747"/>
      <c r="R27" s="747"/>
      <c r="S27" s="747"/>
      <c r="T27" s="747"/>
      <c r="U27" s="746"/>
      <c r="V27" s="747"/>
      <c r="W27" s="747"/>
      <c r="X27" s="747"/>
      <c r="Y27" s="747"/>
      <c r="Z27" s="746"/>
      <c r="AA27" s="747"/>
      <c r="AB27" s="747"/>
      <c r="AC27" s="747"/>
      <c r="AD27" s="747"/>
      <c r="AE27" s="746"/>
      <c r="AF27" s="747"/>
      <c r="AG27" s="747"/>
      <c r="AH27" s="747"/>
      <c r="AI27" s="747"/>
      <c r="AJ27" s="746"/>
      <c r="AK27" s="747"/>
      <c r="AL27" s="747"/>
      <c r="AM27" s="747"/>
      <c r="AN27" s="747"/>
      <c r="AO27" s="746"/>
      <c r="AP27" s="747"/>
      <c r="AQ27" s="747"/>
      <c r="AR27" s="747"/>
      <c r="AS27" s="747"/>
      <c r="AT27" s="746"/>
      <c r="AU27" s="747"/>
      <c r="AV27" s="747"/>
      <c r="AW27" s="750"/>
      <c r="AX27" s="747"/>
      <c r="AY27" s="746"/>
      <c r="AZ27" s="747"/>
      <c r="BA27" s="747"/>
      <c r="BB27" s="747"/>
      <c r="BC27" s="747"/>
      <c r="BD27" s="746"/>
      <c r="BE27" s="746"/>
      <c r="BF27" s="746"/>
      <c r="BG27" s="746"/>
      <c r="BH27" s="801"/>
    </row>
    <row r="28" spans="1:60" s="420" customFormat="1" x14ac:dyDescent="0.25">
      <c r="A28" s="494" t="s">
        <v>16</v>
      </c>
      <c r="B28" s="255"/>
      <c r="C28" s="848">
        <f t="shared" ref="C28:D28" si="36">C379</f>
        <v>1670.269</v>
      </c>
      <c r="D28" s="848">
        <f t="shared" si="36"/>
        <v>2162.625</v>
      </c>
      <c r="E28" s="848">
        <f>E379</f>
        <v>3204.5770000000002</v>
      </c>
      <c r="F28" s="848">
        <f t="shared" ref="F28:AK28" si="37">F21+F24</f>
        <v>3609.2820000000002</v>
      </c>
      <c r="G28" s="849">
        <f t="shared" si="37"/>
        <v>1023.961</v>
      </c>
      <c r="H28" s="849">
        <f t="shared" si="37"/>
        <v>1069.3720000000001</v>
      </c>
      <c r="I28" s="849">
        <f t="shared" si="37"/>
        <v>1105.999</v>
      </c>
      <c r="J28" s="849">
        <f t="shared" si="37"/>
        <v>1175.23</v>
      </c>
      <c r="K28" s="848">
        <f t="shared" si="37"/>
        <v>4374.5619999999999</v>
      </c>
      <c r="L28" s="849">
        <f t="shared" si="37"/>
        <v>1270.0889999999999</v>
      </c>
      <c r="M28" s="849">
        <f t="shared" si="37"/>
        <v>1340.4070000000002</v>
      </c>
      <c r="N28" s="849">
        <f t="shared" si="37"/>
        <v>1409.432</v>
      </c>
      <c r="O28" s="849">
        <f t="shared" si="37"/>
        <v>1484.7280000000003</v>
      </c>
      <c r="P28" s="848">
        <f t="shared" si="37"/>
        <v>5504.6559999999999</v>
      </c>
      <c r="Q28" s="849">
        <f t="shared" si="37"/>
        <v>1573.1290000000001</v>
      </c>
      <c r="R28" s="849">
        <f t="shared" si="37"/>
        <v>1644.694</v>
      </c>
      <c r="S28" s="849">
        <f t="shared" si="37"/>
        <v>1738.355</v>
      </c>
      <c r="T28" s="849">
        <f t="shared" si="37"/>
        <v>1823.3329999999996</v>
      </c>
      <c r="U28" s="848">
        <f t="shared" si="37"/>
        <v>6779.5109999999995</v>
      </c>
      <c r="V28" s="849">
        <f t="shared" si="37"/>
        <v>1957.7360000000001</v>
      </c>
      <c r="W28" s="849">
        <f t="shared" si="37"/>
        <v>2105.2040000000002</v>
      </c>
      <c r="X28" s="849">
        <f t="shared" si="37"/>
        <v>2290.1880000000001</v>
      </c>
      <c r="Y28" s="849">
        <f t="shared" si="37"/>
        <v>2477.5409999999997</v>
      </c>
      <c r="Z28" s="848">
        <f t="shared" si="37"/>
        <v>8830.6689999999999</v>
      </c>
      <c r="AA28" s="849">
        <f t="shared" si="37"/>
        <v>2636.6350000000002</v>
      </c>
      <c r="AB28" s="849">
        <f t="shared" si="37"/>
        <v>2785.4639999999999</v>
      </c>
      <c r="AC28" s="849">
        <f t="shared" si="37"/>
        <v>2984.8589999999999</v>
      </c>
      <c r="AD28" s="849">
        <f t="shared" si="37"/>
        <v>3285.7550000000001</v>
      </c>
      <c r="AE28" s="848">
        <f t="shared" si="37"/>
        <v>11692.712999999998</v>
      </c>
      <c r="AF28" s="849">
        <f t="shared" si="37"/>
        <v>3700.8560000000007</v>
      </c>
      <c r="AG28" s="849">
        <f t="shared" si="37"/>
        <v>3907.2699999999995</v>
      </c>
      <c r="AH28" s="849">
        <f t="shared" si="37"/>
        <v>3999.3739999999998</v>
      </c>
      <c r="AI28" s="849">
        <f t="shared" si="37"/>
        <v>4186.8410000000003</v>
      </c>
      <c r="AJ28" s="848">
        <f t="shared" si="37"/>
        <v>15794.341</v>
      </c>
      <c r="AK28" s="849">
        <f t="shared" si="37"/>
        <v>4520.9920000000002</v>
      </c>
      <c r="AL28" s="849">
        <f t="shared" ref="AL28:BG28" si="38">AL21+AL24</f>
        <v>4923.116</v>
      </c>
      <c r="AM28" s="849">
        <f t="shared" si="38"/>
        <v>5244.9050000000007</v>
      </c>
      <c r="AN28" s="849">
        <f t="shared" si="38"/>
        <v>5467.4340000000002</v>
      </c>
      <c r="AO28" s="848">
        <f t="shared" si="38"/>
        <v>20156.447000000004</v>
      </c>
      <c r="AP28" s="849">
        <f t="shared" si="38"/>
        <v>5767.6909999999998</v>
      </c>
      <c r="AQ28" s="849">
        <f t="shared" si="38"/>
        <v>6148.286000000001</v>
      </c>
      <c r="AR28" s="849">
        <f t="shared" si="38"/>
        <v>6435.6369999999997</v>
      </c>
      <c r="AS28" s="849">
        <f t="shared" si="38"/>
        <v>6644.4420000000018</v>
      </c>
      <c r="AT28" s="848">
        <f t="shared" si="38"/>
        <v>24996.056</v>
      </c>
      <c r="AU28" s="849">
        <f t="shared" si="38"/>
        <v>7163.2820000000002</v>
      </c>
      <c r="AV28" s="849">
        <f t="shared" si="38"/>
        <v>7341.7769999999991</v>
      </c>
      <c r="AW28" s="850">
        <f t="shared" si="38"/>
        <v>7483.4670000000006</v>
      </c>
      <c r="AX28" s="849">
        <f t="shared" si="38"/>
        <v>7723.3186424640007</v>
      </c>
      <c r="AY28" s="848">
        <f t="shared" si="38"/>
        <v>29711.844642463999</v>
      </c>
      <c r="AZ28" s="849">
        <f t="shared" si="38"/>
        <v>7997.8967346311483</v>
      </c>
      <c r="BA28" s="849">
        <f t="shared" si="38"/>
        <v>8226.8890415095739</v>
      </c>
      <c r="BB28" s="849">
        <f t="shared" si="38"/>
        <v>8464.3311244111865</v>
      </c>
      <c r="BC28" s="849">
        <f t="shared" si="38"/>
        <v>8716.3775618686177</v>
      </c>
      <c r="BD28" s="848">
        <f t="shared" si="38"/>
        <v>33405.494462420524</v>
      </c>
      <c r="BE28" s="848">
        <f t="shared" si="38"/>
        <v>37700.702939391864</v>
      </c>
      <c r="BF28" s="848">
        <f t="shared" si="38"/>
        <v>42913.736107439145</v>
      </c>
      <c r="BG28" s="848">
        <f t="shared" si="38"/>
        <v>48960.074611789147</v>
      </c>
      <c r="BH28" s="824"/>
    </row>
    <row r="29" spans="1:60" s="755" customFormat="1" x14ac:dyDescent="0.25">
      <c r="A29" s="948" t="str">
        <f>A380</f>
        <v>Consensus Estimates - Net Revenue</v>
      </c>
      <c r="B29" s="949"/>
      <c r="C29" s="851"/>
      <c r="D29" s="851"/>
      <c r="E29" s="851"/>
      <c r="F29" s="851"/>
      <c r="G29" s="852"/>
      <c r="H29" s="852"/>
      <c r="I29" s="852"/>
      <c r="J29" s="852"/>
      <c r="K29" s="851"/>
      <c r="L29" s="852"/>
      <c r="M29" s="852"/>
      <c r="N29" s="852"/>
      <c r="O29" s="852"/>
      <c r="P29" s="851"/>
      <c r="Q29" s="852"/>
      <c r="R29" s="852"/>
      <c r="S29" s="852"/>
      <c r="T29" s="852"/>
      <c r="U29" s="851"/>
      <c r="V29" s="852"/>
      <c r="W29" s="852"/>
      <c r="X29" s="852"/>
      <c r="Y29" s="852"/>
      <c r="Z29" s="851"/>
      <c r="AA29" s="852"/>
      <c r="AB29" s="852"/>
      <c r="AC29" s="852"/>
      <c r="AD29" s="852"/>
      <c r="AE29" s="851"/>
      <c r="AF29" s="852"/>
      <c r="AG29" s="852"/>
      <c r="AH29" s="852"/>
      <c r="AI29" s="852"/>
      <c r="AJ29" s="851"/>
      <c r="AK29" s="852"/>
      <c r="AL29" s="852"/>
      <c r="AM29" s="852"/>
      <c r="AN29" s="852"/>
      <c r="AO29" s="851"/>
      <c r="AP29" s="852"/>
      <c r="AQ29" s="852"/>
      <c r="AR29" s="852"/>
      <c r="AS29" s="852"/>
      <c r="AT29" s="851"/>
      <c r="AU29" s="852"/>
      <c r="AV29" s="852"/>
      <c r="AW29" s="853"/>
      <c r="AX29" s="852" t="str">
        <f t="shared" ref="AX29:BG29" ca="1" si="39">AX380</f>
        <v>N/A</v>
      </c>
      <c r="AY29" s="851" t="str">
        <f t="shared" ca="1" si="39"/>
        <v>N/A</v>
      </c>
      <c r="AZ29" s="852" t="str">
        <f t="shared" ca="1" si="39"/>
        <v>N/A</v>
      </c>
      <c r="BA29" s="852" t="str">
        <f t="shared" ca="1" si="39"/>
        <v>N/A</v>
      </c>
      <c r="BB29" s="852" t="str">
        <f t="shared" ca="1" si="39"/>
        <v>N/A</v>
      </c>
      <c r="BC29" s="852" t="str">
        <f t="shared" ca="1" si="39"/>
        <v>N/A</v>
      </c>
      <c r="BD29" s="851" t="str">
        <f t="shared" ca="1" si="39"/>
        <v>N/A</v>
      </c>
      <c r="BE29" s="851" t="str">
        <f t="shared" ca="1" si="39"/>
        <v>N/A</v>
      </c>
      <c r="BF29" s="851" t="str">
        <f t="shared" ca="1" si="39"/>
        <v>N/A</v>
      </c>
      <c r="BG29" s="851" t="str">
        <f t="shared" ca="1" si="39"/>
        <v>N/A</v>
      </c>
      <c r="BH29" s="459"/>
    </row>
    <row r="30" spans="1:60" s="420" customFormat="1" x14ac:dyDescent="0.25">
      <c r="A30" s="834" t="s">
        <v>674</v>
      </c>
      <c r="B30" s="835"/>
      <c r="C30" s="165"/>
      <c r="D30" s="165"/>
      <c r="E30" s="165"/>
      <c r="F30" s="165"/>
      <c r="G30" s="474"/>
      <c r="H30" s="474">
        <f>H28/G28-1</f>
        <v>4.4348368736699895E-2</v>
      </c>
      <c r="I30" s="474">
        <f>I28/H28-1</f>
        <v>3.4250943544435364E-2</v>
      </c>
      <c r="J30" s="474">
        <f>J28/I28-1</f>
        <v>6.2595897464645001E-2</v>
      </c>
      <c r="K30" s="165"/>
      <c r="L30" s="474">
        <f>L28/J28-1</f>
        <v>8.07152642461475E-2</v>
      </c>
      <c r="M30" s="474">
        <f>M28/L28-1</f>
        <v>5.5364624053904965E-2</v>
      </c>
      <c r="N30" s="474">
        <f>N28/M28-1</f>
        <v>5.1495553216299061E-2</v>
      </c>
      <c r="O30" s="474">
        <f>O28/N28-1</f>
        <v>5.342293916982177E-2</v>
      </c>
      <c r="P30" s="165"/>
      <c r="Q30" s="474">
        <f>Q28/O28-1</f>
        <v>5.9540198608768691E-2</v>
      </c>
      <c r="R30" s="474">
        <f>R28/Q28-1</f>
        <v>4.5492137008471545E-2</v>
      </c>
      <c r="S30" s="474">
        <f>S28/R28-1</f>
        <v>5.6947371365129396E-2</v>
      </c>
      <c r="T30" s="474">
        <f>T28/S28-1</f>
        <v>4.8884146218695079E-2</v>
      </c>
      <c r="U30" s="165"/>
      <c r="V30" s="474">
        <f>V28/T28-1</f>
        <v>7.3712810550788266E-2</v>
      </c>
      <c r="W30" s="474">
        <f>W28/V28-1</f>
        <v>7.5325784477580315E-2</v>
      </c>
      <c r="X30" s="474">
        <f>X28/W28-1</f>
        <v>8.7869869143322843E-2</v>
      </c>
      <c r="Y30" s="474">
        <f>Y28/X28-1</f>
        <v>8.180682109940296E-2</v>
      </c>
      <c r="Z30" s="165"/>
      <c r="AA30" s="474">
        <f>AA28/Y28-1</f>
        <v>6.4214477177169105E-2</v>
      </c>
      <c r="AB30" s="474">
        <f>AB28/AA28-1</f>
        <v>5.6446569206583197E-2</v>
      </c>
      <c r="AC30" s="474">
        <f>AC28/AB28-1</f>
        <v>7.1584123865898075E-2</v>
      </c>
      <c r="AD30" s="474">
        <f>AD28/AC28-1</f>
        <v>0.10080744182556023</v>
      </c>
      <c r="AE30" s="165"/>
      <c r="AF30" s="474">
        <f>AF28/AD28-1</f>
        <v>0.12633352151940747</v>
      </c>
      <c r="AG30" s="474">
        <f>AG28/AF28-1</f>
        <v>5.5774664023674259E-2</v>
      </c>
      <c r="AH30" s="474">
        <f>AH28/AG28-1</f>
        <v>2.3572468756958287E-2</v>
      </c>
      <c r="AI30" s="474">
        <f>AI28/AH28-1</f>
        <v>4.6874085794426978E-2</v>
      </c>
      <c r="AJ30" s="165"/>
      <c r="AK30" s="474">
        <f>AK28/AI28-1</f>
        <v>7.98098136518679E-2</v>
      </c>
      <c r="AL30" s="474">
        <f>AL28/AK28-1</f>
        <v>8.894596584112513E-2</v>
      </c>
      <c r="AM30" s="474">
        <f>AM28/AL28-1</f>
        <v>6.5362871807205236E-2</v>
      </c>
      <c r="AN30" s="474">
        <f>AN28/AM28-1</f>
        <v>4.2427651215798834E-2</v>
      </c>
      <c r="AO30" s="165"/>
      <c r="AP30" s="474">
        <f>AP28/AN28-1</f>
        <v>5.4917352454551649E-2</v>
      </c>
      <c r="AQ30" s="474">
        <f>AQ28/AP28-1</f>
        <v>6.5987411600240131E-2</v>
      </c>
      <c r="AR30" s="474">
        <f>AR28/AQ28-1</f>
        <v>4.6736765335899877E-2</v>
      </c>
      <c r="AS30" s="474">
        <f>AS28/AR28-1</f>
        <v>3.2445117709404947E-2</v>
      </c>
      <c r="AT30" s="165"/>
      <c r="AU30" s="474">
        <f>AU28/AS28-1</f>
        <v>7.8086316352825147E-2</v>
      </c>
      <c r="AV30" s="474">
        <f>AV28/AU28-1</f>
        <v>2.4918047341986327E-2</v>
      </c>
      <c r="AW30" s="598">
        <f>AW28/AV28-1</f>
        <v>1.9299142428325089E-2</v>
      </c>
      <c r="AX30" s="474">
        <f>AX28/AW28-1</f>
        <v>3.2050871937298497E-2</v>
      </c>
      <c r="AY30" s="165"/>
      <c r="AZ30" s="474">
        <f>AZ28/AX28-1</f>
        <v>3.555182750812258E-2</v>
      </c>
      <c r="BA30" s="474">
        <f>BA28/AZ28-1</f>
        <v>2.8631565832412109E-2</v>
      </c>
      <c r="BB30" s="474">
        <f>BB28/BA28-1</f>
        <v>2.8861709657633128E-2</v>
      </c>
      <c r="BC30" s="474">
        <f>BC28/BB28-1</f>
        <v>2.9777478427152726E-2</v>
      </c>
      <c r="BD30" s="165"/>
      <c r="BE30" s="165"/>
      <c r="BF30" s="165"/>
      <c r="BG30" s="165"/>
      <c r="BH30" s="824"/>
    </row>
    <row r="31" spans="1:60" s="420" customFormat="1" x14ac:dyDescent="0.25">
      <c r="A31" s="834" t="s">
        <v>721</v>
      </c>
      <c r="B31" s="835"/>
      <c r="C31" s="165"/>
      <c r="D31" s="165"/>
      <c r="E31" s="165"/>
      <c r="F31" s="165"/>
      <c r="G31" s="474"/>
      <c r="H31" s="474"/>
      <c r="I31" s="474"/>
      <c r="J31" s="474"/>
      <c r="K31" s="165"/>
      <c r="L31" s="474"/>
      <c r="M31" s="474"/>
      <c r="N31" s="474"/>
      <c r="O31" s="474"/>
      <c r="P31" s="165"/>
      <c r="Q31" s="474"/>
      <c r="R31" s="474"/>
      <c r="S31" s="474"/>
      <c r="T31" s="474"/>
      <c r="U31" s="165"/>
      <c r="V31" s="474"/>
      <c r="W31" s="474"/>
      <c r="X31" s="474"/>
      <c r="Y31" s="474"/>
      <c r="Z31" s="165"/>
      <c r="AA31" s="474"/>
      <c r="AB31" s="474"/>
      <c r="AC31" s="474"/>
      <c r="AD31" s="474"/>
      <c r="AE31" s="165"/>
      <c r="AF31" s="474"/>
      <c r="AG31" s="474"/>
      <c r="AH31" s="474"/>
      <c r="AI31" s="474"/>
      <c r="AJ31" s="165"/>
      <c r="AK31" s="474">
        <f t="shared" ref="AK31:AW31" si="40">AK34/AF28-1</f>
        <v>0.2832144779478043</v>
      </c>
      <c r="AL31" s="474">
        <f t="shared" si="40"/>
        <v>0.32781097799742542</v>
      </c>
      <c r="AM31" s="474">
        <f t="shared" si="40"/>
        <v>0.34568684999202404</v>
      </c>
      <c r="AN31" s="474">
        <f t="shared" si="40"/>
        <v>0.33762758127189452</v>
      </c>
      <c r="AO31" s="165">
        <f t="shared" si="40"/>
        <v>0.32442670447598942</v>
      </c>
      <c r="AP31" s="474">
        <f t="shared" si="40"/>
        <v>0.30119473779205963</v>
      </c>
      <c r="AQ31" s="474">
        <f t="shared" si="40"/>
        <v>0.30756333996598917</v>
      </c>
      <c r="AR31" s="474">
        <f t="shared" si="40"/>
        <v>0.25715089215152598</v>
      </c>
      <c r="AS31" s="474">
        <f t="shared" si="40"/>
        <v>0.22149476335699747</v>
      </c>
      <c r="AT31" s="165">
        <f t="shared" si="40"/>
        <v>0.26967098913811527</v>
      </c>
      <c r="AU31" s="474">
        <f t="shared" si="40"/>
        <v>0.22809665080878982</v>
      </c>
      <c r="AV31" s="474">
        <f t="shared" si="40"/>
        <v>0.1490644709761384</v>
      </c>
      <c r="AW31" s="598">
        <f t="shared" si="40"/>
        <v>0.14292757655535904</v>
      </c>
      <c r="AX31" s="474"/>
      <c r="AY31" s="165"/>
      <c r="AZ31" s="474"/>
      <c r="BA31" s="474"/>
      <c r="BB31" s="474"/>
      <c r="BC31" s="474"/>
      <c r="BD31" s="165"/>
      <c r="BE31" s="165"/>
      <c r="BF31" s="165"/>
      <c r="BG31" s="165"/>
      <c r="BH31" s="824"/>
    </row>
    <row r="32" spans="1:60" s="649" customFormat="1" x14ac:dyDescent="0.25">
      <c r="A32" s="151" t="s">
        <v>673</v>
      </c>
      <c r="B32" s="643"/>
      <c r="C32" s="165"/>
      <c r="D32" s="435">
        <f>D28/C28-1</f>
        <v>0.2947764701374449</v>
      </c>
      <c r="E32" s="435">
        <f>E28/D28-1</f>
        <v>0.48179966475926261</v>
      </c>
      <c r="F32" s="435">
        <f>F28/E28-1</f>
        <v>0.12628967879380015</v>
      </c>
      <c r="G32" s="474"/>
      <c r="H32" s="474"/>
      <c r="I32" s="474"/>
      <c r="J32" s="474"/>
      <c r="K32" s="435">
        <f t="shared" ref="K32:BD32" si="41">K28/F28-1</f>
        <v>0.21203109094828276</v>
      </c>
      <c r="L32" s="436">
        <f t="shared" si="41"/>
        <v>0.24036852966079758</v>
      </c>
      <c r="M32" s="436">
        <f t="shared" si="41"/>
        <v>0.25345249361307398</v>
      </c>
      <c r="N32" s="436">
        <f t="shared" si="41"/>
        <v>0.27435196596018629</v>
      </c>
      <c r="O32" s="436">
        <f t="shared" si="41"/>
        <v>0.26335100363333153</v>
      </c>
      <c r="P32" s="435">
        <f t="shared" si="41"/>
        <v>0.25833306283006174</v>
      </c>
      <c r="Q32" s="436">
        <f t="shared" si="41"/>
        <v>0.2385974526194623</v>
      </c>
      <c r="R32" s="436">
        <f t="shared" si="41"/>
        <v>0.22701090042054384</v>
      </c>
      <c r="S32" s="436">
        <f t="shared" si="41"/>
        <v>0.23337273454838536</v>
      </c>
      <c r="T32" s="436">
        <f t="shared" si="41"/>
        <v>0.22805860736781369</v>
      </c>
      <c r="U32" s="435">
        <f t="shared" si="41"/>
        <v>0.23159576184233854</v>
      </c>
      <c r="V32" s="436">
        <f t="shared" si="41"/>
        <v>0.24448535371225111</v>
      </c>
      <c r="W32" s="436">
        <f t="shared" si="41"/>
        <v>0.2799973733715817</v>
      </c>
      <c r="X32" s="436">
        <f t="shared" si="41"/>
        <v>0.31744551601945514</v>
      </c>
      <c r="Y32" s="474">
        <f t="shared" si="41"/>
        <v>0.35879787180948308</v>
      </c>
      <c r="Z32" s="165">
        <f t="shared" si="41"/>
        <v>0.30255249973043785</v>
      </c>
      <c r="AA32" s="436">
        <f t="shared" si="41"/>
        <v>0.3467776043348032</v>
      </c>
      <c r="AB32" s="436">
        <f t="shared" si="41"/>
        <v>0.32313258002549849</v>
      </c>
      <c r="AC32" s="436">
        <f t="shared" si="41"/>
        <v>0.30332487987885703</v>
      </c>
      <c r="AD32" s="474">
        <f t="shared" si="41"/>
        <v>0.32621619581673955</v>
      </c>
      <c r="AE32" s="165">
        <f t="shared" si="41"/>
        <v>0.32410273785598775</v>
      </c>
      <c r="AF32" s="436">
        <f t="shared" si="41"/>
        <v>0.40362848858488198</v>
      </c>
      <c r="AG32" s="436">
        <f t="shared" si="41"/>
        <v>0.40273577400390015</v>
      </c>
      <c r="AH32" s="436">
        <f t="shared" si="41"/>
        <v>0.33988707674298846</v>
      </c>
      <c r="AI32" s="474">
        <f t="shared" si="41"/>
        <v>0.27424016702401732</v>
      </c>
      <c r="AJ32" s="165">
        <f t="shared" si="41"/>
        <v>0.35078497180252377</v>
      </c>
      <c r="AK32" s="436">
        <f t="shared" si="41"/>
        <v>0.22160710927417848</v>
      </c>
      <c r="AL32" s="436">
        <f t="shared" si="41"/>
        <v>0.25998868775385375</v>
      </c>
      <c r="AM32" s="436">
        <f t="shared" si="41"/>
        <v>0.31143148902803319</v>
      </c>
      <c r="AN32" s="474">
        <f t="shared" si="41"/>
        <v>0.30586138809665808</v>
      </c>
      <c r="AO32" s="165">
        <f t="shared" si="41"/>
        <v>0.27618157667990095</v>
      </c>
      <c r="AP32" s="436">
        <f t="shared" si="41"/>
        <v>0.27575784252659585</v>
      </c>
      <c r="AQ32" s="436">
        <f t="shared" si="41"/>
        <v>0.24886068091834534</v>
      </c>
      <c r="AR32" s="436">
        <f t="shared" si="41"/>
        <v>0.22702641897231679</v>
      </c>
      <c r="AS32" s="474">
        <f t="shared" si="41"/>
        <v>0.21527612404649088</v>
      </c>
      <c r="AT32" s="165">
        <f t="shared" si="41"/>
        <v>0.24010228588401494</v>
      </c>
      <c r="AU32" s="436">
        <f t="shared" si="41"/>
        <v>0.24196701938436038</v>
      </c>
      <c r="AV32" s="436">
        <f t="shared" si="41"/>
        <v>0.19411767767472066</v>
      </c>
      <c r="AW32" s="596">
        <f t="shared" si="41"/>
        <v>0.16281682761162575</v>
      </c>
      <c r="AX32" s="474">
        <f t="shared" si="41"/>
        <v>0.16237279856818665</v>
      </c>
      <c r="AY32" s="165">
        <f t="shared" si="41"/>
        <v>0.18866130890665311</v>
      </c>
      <c r="AZ32" s="474">
        <f t="shared" si="41"/>
        <v>0.11651289655093122</v>
      </c>
      <c r="BA32" s="474">
        <f t="shared" si="41"/>
        <v>0.12055828466454033</v>
      </c>
      <c r="BB32" s="474">
        <f t="shared" si="41"/>
        <v>0.13107081576108848</v>
      </c>
      <c r="BC32" s="474">
        <f t="shared" si="41"/>
        <v>0.12857930190069133</v>
      </c>
      <c r="BD32" s="165">
        <f t="shared" si="41"/>
        <v>0.12431573550561659</v>
      </c>
      <c r="BE32" s="165">
        <f>BE28/BD28-1</f>
        <v>0.12857790450619522</v>
      </c>
      <c r="BF32" s="165">
        <f>BF28/BE28-1</f>
        <v>0.13827416365227507</v>
      </c>
      <c r="BG32" s="165">
        <f>BG28/BF28-1</f>
        <v>0.14089517839258603</v>
      </c>
      <c r="BH32" s="648"/>
    </row>
    <row r="33" spans="1:60" s="649" customFormat="1" hidden="1" outlineLevel="1" x14ac:dyDescent="0.25">
      <c r="A33" s="186"/>
      <c r="B33" s="643"/>
      <c r="C33" s="165"/>
      <c r="D33" s="165"/>
      <c r="E33" s="165"/>
      <c r="F33" s="165"/>
      <c r="G33" s="474"/>
      <c r="H33" s="474"/>
      <c r="I33" s="474"/>
      <c r="J33" s="474"/>
      <c r="K33" s="165"/>
      <c r="L33" s="474"/>
      <c r="M33" s="474"/>
      <c r="N33" s="474"/>
      <c r="O33" s="474"/>
      <c r="P33" s="165"/>
      <c r="Q33" s="474"/>
      <c r="R33" s="474"/>
      <c r="S33" s="474"/>
      <c r="T33" s="474"/>
      <c r="U33" s="165"/>
      <c r="V33" s="474"/>
      <c r="W33" s="474"/>
      <c r="X33" s="474"/>
      <c r="Y33" s="474"/>
      <c r="Z33" s="165"/>
      <c r="AA33" s="474"/>
      <c r="AB33" s="474"/>
      <c r="AC33" s="474"/>
      <c r="AD33" s="474"/>
      <c r="AE33" s="165"/>
      <c r="AF33" s="474"/>
      <c r="AG33" s="474"/>
      <c r="AH33" s="474"/>
      <c r="AI33" s="474"/>
      <c r="AJ33" s="165"/>
      <c r="AK33" s="474"/>
      <c r="AL33" s="474"/>
      <c r="AM33" s="474"/>
      <c r="AN33" s="474"/>
      <c r="AO33" s="165"/>
      <c r="AP33" s="474"/>
      <c r="AQ33" s="474"/>
      <c r="AR33" s="474"/>
      <c r="AS33" s="474"/>
      <c r="AT33" s="165"/>
      <c r="AU33" s="474"/>
      <c r="AV33" s="474"/>
      <c r="AW33" s="598"/>
      <c r="AX33" s="474"/>
      <c r="AY33" s="165"/>
      <c r="AZ33" s="474"/>
      <c r="BA33" s="474"/>
      <c r="BB33" s="474"/>
      <c r="BC33" s="474"/>
      <c r="BD33" s="165"/>
      <c r="BE33" s="165"/>
      <c r="BF33" s="165"/>
      <c r="BG33" s="165"/>
      <c r="BH33" s="648"/>
    </row>
    <row r="34" spans="1:60" s="420" customFormat="1" hidden="1" outlineLevel="1" x14ac:dyDescent="0.25">
      <c r="A34" s="367" t="s">
        <v>720</v>
      </c>
      <c r="B34" s="790"/>
      <c r="C34" s="854"/>
      <c r="D34" s="854"/>
      <c r="E34" s="854"/>
      <c r="F34" s="854"/>
      <c r="G34" s="855"/>
      <c r="H34" s="855"/>
      <c r="I34" s="855"/>
      <c r="J34" s="855"/>
      <c r="K34" s="854"/>
      <c r="L34" s="855"/>
      <c r="M34" s="855"/>
      <c r="N34" s="855"/>
      <c r="O34" s="855"/>
      <c r="P34" s="854"/>
      <c r="Q34" s="855"/>
      <c r="R34" s="855"/>
      <c r="S34" s="855"/>
      <c r="T34" s="855"/>
      <c r="U34" s="854"/>
      <c r="V34" s="855"/>
      <c r="W34" s="855"/>
      <c r="X34" s="855"/>
      <c r="Y34" s="855"/>
      <c r="Z34" s="854"/>
      <c r="AA34" s="855"/>
      <c r="AB34" s="855"/>
      <c r="AC34" s="855"/>
      <c r="AD34" s="855"/>
      <c r="AE34" s="854"/>
      <c r="AF34" s="855"/>
      <c r="AG34" s="855"/>
      <c r="AH34" s="855"/>
      <c r="AI34" s="855"/>
      <c r="AJ34" s="854"/>
      <c r="AK34" s="856">
        <f t="shared" ref="AK34:AW34" si="42">AK36-AK35</f>
        <v>4748.9920000000002</v>
      </c>
      <c r="AL34" s="856">
        <f t="shared" si="42"/>
        <v>5188.116</v>
      </c>
      <c r="AM34" s="856">
        <f t="shared" si="42"/>
        <v>5381.9050000000007</v>
      </c>
      <c r="AN34" s="855">
        <f t="shared" si="42"/>
        <v>5600.4340000000002</v>
      </c>
      <c r="AO34" s="854">
        <f t="shared" si="42"/>
        <v>20918.447000000004</v>
      </c>
      <c r="AP34" s="856">
        <f t="shared" si="42"/>
        <v>5882.6909999999998</v>
      </c>
      <c r="AQ34" s="856">
        <f t="shared" si="42"/>
        <v>6437.286000000001</v>
      </c>
      <c r="AR34" s="856">
        <f t="shared" si="42"/>
        <v>6593.6369999999997</v>
      </c>
      <c r="AS34" s="855">
        <f t="shared" si="42"/>
        <v>6678.4420000000018</v>
      </c>
      <c r="AT34" s="854">
        <f t="shared" si="42"/>
        <v>25592.056</v>
      </c>
      <c r="AU34" s="856">
        <f t="shared" si="42"/>
        <v>7083.2820000000002</v>
      </c>
      <c r="AV34" s="856">
        <f t="shared" si="42"/>
        <v>7064.7769999999991</v>
      </c>
      <c r="AW34" s="857">
        <f t="shared" si="42"/>
        <v>7355.4670000000006</v>
      </c>
      <c r="AX34" s="855"/>
      <c r="AY34" s="854"/>
      <c r="AZ34" s="855"/>
      <c r="BA34" s="855"/>
      <c r="BB34" s="855"/>
      <c r="BC34" s="855"/>
      <c r="BD34" s="854"/>
      <c r="BE34" s="854"/>
      <c r="BF34" s="854"/>
      <c r="BG34" s="854"/>
      <c r="BH34" s="821"/>
    </row>
    <row r="35" spans="1:60" s="376" customFormat="1" hidden="1" outlineLevel="1" x14ac:dyDescent="0.25">
      <c r="A35" s="401" t="s">
        <v>719</v>
      </c>
      <c r="B35" s="791"/>
      <c r="C35" s="792"/>
      <c r="D35" s="792"/>
      <c r="E35" s="792"/>
      <c r="F35" s="792"/>
      <c r="G35" s="793"/>
      <c r="H35" s="793"/>
      <c r="I35" s="793"/>
      <c r="J35" s="793"/>
      <c r="K35" s="792"/>
      <c r="L35" s="793"/>
      <c r="M35" s="793"/>
      <c r="N35" s="793"/>
      <c r="O35" s="793"/>
      <c r="P35" s="792"/>
      <c r="Q35" s="793"/>
      <c r="R35" s="793"/>
      <c r="S35" s="793"/>
      <c r="T35" s="793"/>
      <c r="U35" s="792"/>
      <c r="V35" s="793"/>
      <c r="W35" s="793"/>
      <c r="X35" s="793"/>
      <c r="Y35" s="793"/>
      <c r="Z35" s="792"/>
      <c r="AA35" s="793"/>
      <c r="AB35" s="793"/>
      <c r="AC35" s="793"/>
      <c r="AD35" s="793"/>
      <c r="AE35" s="792"/>
      <c r="AF35" s="793"/>
      <c r="AG35" s="793"/>
      <c r="AH35" s="793"/>
      <c r="AI35" s="793"/>
      <c r="AJ35" s="792"/>
      <c r="AK35" s="816">
        <v>-228</v>
      </c>
      <c r="AL35" s="816">
        <v>-265</v>
      </c>
      <c r="AM35" s="816">
        <v>-137</v>
      </c>
      <c r="AN35" s="793">
        <v>-133</v>
      </c>
      <c r="AO35" s="792">
        <v>-762</v>
      </c>
      <c r="AP35" s="816">
        <v>-115</v>
      </c>
      <c r="AQ35" s="816">
        <v>-289</v>
      </c>
      <c r="AR35" s="816">
        <v>-158</v>
      </c>
      <c r="AS35" s="793">
        <f>AT35-SUM(AP35,AQ35,AR35)</f>
        <v>-34</v>
      </c>
      <c r="AT35" s="792">
        <v>-596</v>
      </c>
      <c r="AU35" s="816">
        <v>80</v>
      </c>
      <c r="AV35" s="816">
        <v>277</v>
      </c>
      <c r="AW35" s="846">
        <v>128</v>
      </c>
      <c r="AX35" s="793"/>
      <c r="AY35" s="792"/>
      <c r="AZ35" s="793"/>
      <c r="BA35" s="793"/>
      <c r="BB35" s="793"/>
      <c r="BC35" s="793"/>
      <c r="BD35" s="792"/>
      <c r="BE35" s="792"/>
      <c r="BF35" s="792"/>
      <c r="BG35" s="792"/>
      <c r="BH35" s="280"/>
    </row>
    <row r="36" spans="1:60" s="420" customFormat="1" hidden="1" outlineLevel="1" x14ac:dyDescent="0.25">
      <c r="A36" s="494" t="s">
        <v>16</v>
      </c>
      <c r="B36" s="255"/>
      <c r="C36" s="848"/>
      <c r="D36" s="848"/>
      <c r="E36" s="848"/>
      <c r="F36" s="848"/>
      <c r="G36" s="849"/>
      <c r="H36" s="849"/>
      <c r="I36" s="849"/>
      <c r="J36" s="849"/>
      <c r="K36" s="848"/>
      <c r="L36" s="849"/>
      <c r="M36" s="849"/>
      <c r="N36" s="849"/>
      <c r="O36" s="849"/>
      <c r="P36" s="848"/>
      <c r="Q36" s="849"/>
      <c r="R36" s="849"/>
      <c r="S36" s="849"/>
      <c r="T36" s="849"/>
      <c r="U36" s="848"/>
      <c r="V36" s="849"/>
      <c r="W36" s="849"/>
      <c r="X36" s="849"/>
      <c r="Y36" s="849"/>
      <c r="Z36" s="848"/>
      <c r="AA36" s="849"/>
      <c r="AB36" s="849"/>
      <c r="AC36" s="849"/>
      <c r="AD36" s="849"/>
      <c r="AE36" s="848"/>
      <c r="AF36" s="849"/>
      <c r="AG36" s="849"/>
      <c r="AH36" s="849"/>
      <c r="AI36" s="849"/>
      <c r="AJ36" s="848"/>
      <c r="AK36" s="849">
        <f t="shared" ref="AK36:AW36" si="43">AK28</f>
        <v>4520.9920000000002</v>
      </c>
      <c r="AL36" s="849">
        <f t="shared" si="43"/>
        <v>4923.116</v>
      </c>
      <c r="AM36" s="849">
        <f t="shared" si="43"/>
        <v>5244.9050000000007</v>
      </c>
      <c r="AN36" s="849">
        <f t="shared" si="43"/>
        <v>5467.4340000000002</v>
      </c>
      <c r="AO36" s="848">
        <f t="shared" si="43"/>
        <v>20156.447000000004</v>
      </c>
      <c r="AP36" s="849">
        <f t="shared" si="43"/>
        <v>5767.6909999999998</v>
      </c>
      <c r="AQ36" s="849">
        <f t="shared" si="43"/>
        <v>6148.286000000001</v>
      </c>
      <c r="AR36" s="849">
        <f t="shared" si="43"/>
        <v>6435.6369999999997</v>
      </c>
      <c r="AS36" s="849">
        <f t="shared" si="43"/>
        <v>6644.4420000000018</v>
      </c>
      <c r="AT36" s="848">
        <f t="shared" si="43"/>
        <v>24996.056</v>
      </c>
      <c r="AU36" s="849">
        <f t="shared" si="43"/>
        <v>7163.2820000000002</v>
      </c>
      <c r="AV36" s="849">
        <f t="shared" si="43"/>
        <v>7341.7769999999991</v>
      </c>
      <c r="AW36" s="850">
        <f t="shared" si="43"/>
        <v>7483.4670000000006</v>
      </c>
      <c r="AX36" s="849"/>
      <c r="AY36" s="848"/>
      <c r="AZ36" s="849"/>
      <c r="BA36" s="849"/>
      <c r="BB36" s="849"/>
      <c r="BC36" s="849"/>
      <c r="BD36" s="848"/>
      <c r="BE36" s="848"/>
      <c r="BF36" s="848"/>
      <c r="BG36" s="848"/>
      <c r="BH36" s="824"/>
    </row>
    <row r="37" spans="1:60" s="420" customFormat="1" collapsed="1" x14ac:dyDescent="0.25">
      <c r="A37" s="481"/>
      <c r="B37" s="788"/>
      <c r="C37" s="858"/>
      <c r="D37" s="858"/>
      <c r="E37" s="858"/>
      <c r="F37" s="858"/>
      <c r="G37" s="859"/>
      <c r="H37" s="859"/>
      <c r="I37" s="859"/>
      <c r="J37" s="859"/>
      <c r="K37" s="858"/>
      <c r="L37" s="859"/>
      <c r="M37" s="859"/>
      <c r="N37" s="859"/>
      <c r="O37" s="859"/>
      <c r="P37" s="858"/>
      <c r="Q37" s="859"/>
      <c r="R37" s="859"/>
      <c r="S37" s="859"/>
      <c r="T37" s="859"/>
      <c r="U37" s="858"/>
      <c r="V37" s="859"/>
      <c r="W37" s="859"/>
      <c r="X37" s="859"/>
      <c r="Y37" s="859"/>
      <c r="Z37" s="858"/>
      <c r="AA37" s="859"/>
      <c r="AB37" s="859"/>
      <c r="AC37" s="859"/>
      <c r="AD37" s="859"/>
      <c r="AE37" s="858"/>
      <c r="AF37" s="859"/>
      <c r="AG37" s="859"/>
      <c r="AH37" s="859"/>
      <c r="AI37" s="859"/>
      <c r="AJ37" s="858"/>
      <c r="AK37" s="859"/>
      <c r="AL37" s="859"/>
      <c r="AM37" s="859"/>
      <c r="AN37" s="859"/>
      <c r="AO37" s="858"/>
      <c r="AP37" s="859"/>
      <c r="AQ37" s="859"/>
      <c r="AR37" s="859"/>
      <c r="AS37" s="859"/>
      <c r="AT37" s="858"/>
      <c r="AU37" s="859"/>
      <c r="AV37" s="859"/>
      <c r="AW37" s="860"/>
      <c r="AX37" s="859"/>
      <c r="AY37" s="858"/>
      <c r="AZ37" s="859"/>
      <c r="BA37" s="859"/>
      <c r="BB37" s="859"/>
      <c r="BC37" s="859"/>
      <c r="BD37" s="858"/>
      <c r="BE37" s="858"/>
      <c r="BF37" s="858"/>
      <c r="BG37" s="858"/>
      <c r="BH37" s="789"/>
    </row>
    <row r="38" spans="1:60" s="57" customFormat="1" x14ac:dyDescent="0.25">
      <c r="A38" s="819" t="s">
        <v>598</v>
      </c>
      <c r="B38" s="819"/>
      <c r="C38" s="861"/>
      <c r="D38" s="861"/>
      <c r="E38" s="861"/>
      <c r="F38" s="861"/>
      <c r="G38" s="861"/>
      <c r="H38" s="861"/>
      <c r="I38" s="861"/>
      <c r="J38" s="861"/>
      <c r="K38" s="861"/>
      <c r="L38" s="861"/>
      <c r="M38" s="861"/>
      <c r="N38" s="861"/>
      <c r="O38" s="861"/>
      <c r="P38" s="861"/>
      <c r="Q38" s="861"/>
      <c r="R38" s="861"/>
      <c r="S38" s="861"/>
      <c r="T38" s="861"/>
      <c r="U38" s="861"/>
      <c r="V38" s="861"/>
      <c r="W38" s="861"/>
      <c r="X38" s="861"/>
      <c r="Y38" s="861"/>
      <c r="Z38" s="861"/>
      <c r="AA38" s="861"/>
      <c r="AB38" s="861"/>
      <c r="AC38" s="861"/>
      <c r="AD38" s="861"/>
      <c r="AE38" s="861"/>
      <c r="AF38" s="861"/>
      <c r="AG38" s="861"/>
      <c r="AH38" s="861"/>
      <c r="AI38" s="861"/>
      <c r="AJ38" s="861"/>
      <c r="AK38" s="861"/>
      <c r="AL38" s="861"/>
      <c r="AM38" s="861"/>
      <c r="AN38" s="861"/>
      <c r="AO38" s="861"/>
      <c r="AP38" s="861"/>
      <c r="AQ38" s="861"/>
      <c r="AR38" s="861"/>
      <c r="AS38" s="861"/>
      <c r="AT38" s="861"/>
      <c r="AU38" s="861"/>
      <c r="AV38" s="861"/>
      <c r="AW38" s="862"/>
      <c r="AX38" s="861"/>
      <c r="AY38" s="861"/>
      <c r="AZ38" s="861"/>
      <c r="BA38" s="861"/>
      <c r="BB38" s="861"/>
      <c r="BC38" s="861"/>
      <c r="BD38" s="861"/>
      <c r="BE38" s="861"/>
      <c r="BF38" s="861"/>
      <c r="BG38" s="861"/>
      <c r="BH38" s="824"/>
    </row>
    <row r="39" spans="1:60" customFormat="1" hidden="1" outlineLevel="2" x14ac:dyDescent="0.25">
      <c r="A39" s="279" t="s">
        <v>451</v>
      </c>
      <c r="B39" s="484"/>
      <c r="C39" s="803"/>
      <c r="D39" s="803"/>
      <c r="E39" s="803"/>
      <c r="F39" s="375">
        <v>25471</v>
      </c>
      <c r="G39" s="280">
        <v>27913</v>
      </c>
      <c r="H39" s="280">
        <v>28624</v>
      </c>
      <c r="I39" s="280">
        <v>29925</v>
      </c>
      <c r="J39" s="280">
        <v>31712</v>
      </c>
      <c r="K39" s="375">
        <v>31712</v>
      </c>
      <c r="L39" s="280">
        <v>34377</v>
      </c>
      <c r="M39" s="280">
        <v>35085</v>
      </c>
      <c r="N39" s="280">
        <v>36265</v>
      </c>
      <c r="O39" s="280">
        <v>37698</v>
      </c>
      <c r="P39" s="375">
        <v>37698</v>
      </c>
      <c r="Q39" s="280">
        <v>40315</v>
      </c>
      <c r="R39" s="280">
        <v>41057</v>
      </c>
      <c r="S39" s="280">
        <v>42068</v>
      </c>
      <c r="T39" s="280">
        <v>43401</v>
      </c>
      <c r="U39" s="375">
        <v>43401</v>
      </c>
      <c r="V39" s="280">
        <v>45714</v>
      </c>
      <c r="W39" s="280">
        <v>46004</v>
      </c>
      <c r="X39" s="280">
        <v>46479</v>
      </c>
      <c r="Y39" s="280">
        <v>47905</v>
      </c>
      <c r="Z39" s="375">
        <v>47905</v>
      </c>
      <c r="AA39" s="280">
        <v>49375</v>
      </c>
      <c r="AB39" s="280">
        <v>50323</v>
      </c>
      <c r="AC39" s="280">
        <v>51345</v>
      </c>
      <c r="AD39" s="280">
        <v>52810</v>
      </c>
      <c r="AE39" s="375">
        <v>52810</v>
      </c>
      <c r="AF39" s="280">
        <v>55087</v>
      </c>
      <c r="AG39" s="280">
        <v>55959</v>
      </c>
      <c r="AH39" s="280">
        <v>56957</v>
      </c>
      <c r="AI39" s="280">
        <v>58486</v>
      </c>
      <c r="AJ39" s="375">
        <v>58486</v>
      </c>
      <c r="AK39" s="280">
        <v>60229</v>
      </c>
      <c r="AL39" s="280">
        <v>60103</v>
      </c>
      <c r="AM39" s="280">
        <v>60620</v>
      </c>
      <c r="AN39" s="280">
        <v>61043</v>
      </c>
      <c r="AO39" s="375">
        <v>61043</v>
      </c>
      <c r="AP39" s="406"/>
      <c r="AQ39" s="406"/>
      <c r="AR39" s="406"/>
      <c r="AS39" s="406"/>
      <c r="AT39" s="803"/>
      <c r="AU39" s="406"/>
      <c r="AV39" s="406"/>
      <c r="AW39" s="572"/>
      <c r="AX39" s="406"/>
      <c r="AY39" s="803"/>
      <c r="AZ39" s="406"/>
      <c r="BA39" s="406"/>
      <c r="BB39" s="406"/>
      <c r="BC39" s="406"/>
      <c r="BD39" s="803"/>
      <c r="BE39" s="803"/>
      <c r="BF39" s="803"/>
      <c r="BG39" s="803"/>
      <c r="BH39" s="280"/>
    </row>
    <row r="40" spans="1:60" s="655" customFormat="1" hidden="1" outlineLevel="2" x14ac:dyDescent="0.25">
      <c r="A40" s="805" t="s">
        <v>606</v>
      </c>
      <c r="B40" s="654"/>
      <c r="C40" s="796"/>
      <c r="D40" s="796"/>
      <c r="E40" s="796"/>
      <c r="F40" s="796"/>
      <c r="G40" s="163"/>
      <c r="H40" s="163">
        <f>H39/G39-1</f>
        <v>2.5472002292838525E-2</v>
      </c>
      <c r="I40" s="163">
        <f>I39/H39-1</f>
        <v>4.54513694801566E-2</v>
      </c>
      <c r="J40" s="163">
        <f>J39/I39-1</f>
        <v>5.9715956558061833E-2</v>
      </c>
      <c r="K40" s="796"/>
      <c r="L40" s="163">
        <f>L39/J39-1</f>
        <v>8.4037588294651799E-2</v>
      </c>
      <c r="M40" s="163">
        <f>M39/L39-1</f>
        <v>2.0595165372196522E-2</v>
      </c>
      <c r="N40" s="163">
        <f>N39/M39-1</f>
        <v>3.3632606527005837E-2</v>
      </c>
      <c r="O40" s="163">
        <f>O39/N39-1</f>
        <v>3.951468357920862E-2</v>
      </c>
      <c r="P40" s="796"/>
      <c r="Q40" s="163">
        <f>Q39/O39-1</f>
        <v>6.9420128388773872E-2</v>
      </c>
      <c r="R40" s="163">
        <f>R39/Q39-1</f>
        <v>1.8405060151308383E-2</v>
      </c>
      <c r="S40" s="163">
        <f>S39/R39-1</f>
        <v>2.4624302798548436E-2</v>
      </c>
      <c r="T40" s="163">
        <f>T39/S39-1</f>
        <v>3.168679281163822E-2</v>
      </c>
      <c r="U40" s="796"/>
      <c r="V40" s="163">
        <f>V39/T39-1</f>
        <v>5.3293702910071294E-2</v>
      </c>
      <c r="W40" s="163">
        <f>W39/V39-1</f>
        <v>6.3437896486853163E-3</v>
      </c>
      <c r="X40" s="163">
        <f>X39/W39-1</f>
        <v>1.0325189113990163E-2</v>
      </c>
      <c r="Y40" s="163">
        <f>Y39/X39-1</f>
        <v>3.0680522386454134E-2</v>
      </c>
      <c r="Z40" s="796"/>
      <c r="AA40" s="648">
        <f>AA39/Y39-1</f>
        <v>3.068573217826942E-2</v>
      </c>
      <c r="AB40" s="648">
        <f>AB39/AA39-1</f>
        <v>1.9200000000000106E-2</v>
      </c>
      <c r="AC40" s="648">
        <f>AC39/AB39-1</f>
        <v>2.0308805118931739E-2</v>
      </c>
      <c r="AD40" s="648">
        <f>AD39/AC39-1</f>
        <v>2.8532476385237038E-2</v>
      </c>
      <c r="AE40" s="796"/>
      <c r="AF40" s="648">
        <f>AF39/AD39-1</f>
        <v>4.311683393296728E-2</v>
      </c>
      <c r="AG40" s="648">
        <f>AG39/AF39-1</f>
        <v>1.5829506054059861E-2</v>
      </c>
      <c r="AH40" s="648">
        <f>AH39/AG39-1</f>
        <v>1.783448596293713E-2</v>
      </c>
      <c r="AI40" s="648">
        <f>AI39/AH39-1</f>
        <v>2.6844812753480607E-2</v>
      </c>
      <c r="AJ40" s="796"/>
      <c r="AK40" s="648">
        <f>AK39/AI39-1</f>
        <v>2.9802003898368845E-2</v>
      </c>
      <c r="AL40" s="648">
        <f>AL39/AK39-1</f>
        <v>-2.0920154742731789E-3</v>
      </c>
      <c r="AM40" s="648">
        <f>AM39/AL39-1</f>
        <v>8.6019000715438221E-3</v>
      </c>
      <c r="AN40" s="648">
        <f>AN39/AM39-1</f>
        <v>6.9778950841306031E-3</v>
      </c>
      <c r="AO40" s="796"/>
      <c r="AP40" s="163"/>
      <c r="AQ40" s="163"/>
      <c r="AR40" s="163"/>
      <c r="AS40" s="163"/>
      <c r="AT40" s="796"/>
      <c r="AU40" s="163"/>
      <c r="AV40" s="163"/>
      <c r="AW40" s="637"/>
      <c r="AX40" s="163"/>
      <c r="AY40" s="796"/>
      <c r="AZ40" s="163"/>
      <c r="BA40" s="163"/>
      <c r="BB40" s="163"/>
      <c r="BC40" s="163"/>
      <c r="BD40" s="796"/>
      <c r="BE40" s="796"/>
      <c r="BF40" s="796"/>
      <c r="BG40" s="796"/>
      <c r="BH40" s="648"/>
    </row>
    <row r="41" spans="1:60" s="649" customFormat="1" hidden="1" outlineLevel="2" x14ac:dyDescent="0.25">
      <c r="A41" s="806" t="s">
        <v>607</v>
      </c>
      <c r="B41" s="643"/>
      <c r="C41" s="165"/>
      <c r="D41" s="165"/>
      <c r="E41" s="165"/>
      <c r="F41" s="165"/>
      <c r="G41" s="474"/>
      <c r="H41" s="474"/>
      <c r="I41" s="474"/>
      <c r="J41" s="474"/>
      <c r="K41" s="165">
        <f t="shared" ref="K41:AO41" si="44">+K39/F39-1</f>
        <v>0.24502375250284647</v>
      </c>
      <c r="L41" s="474">
        <f t="shared" si="44"/>
        <v>0.23157668469888582</v>
      </c>
      <c r="M41" s="474">
        <f t="shared" si="44"/>
        <v>0.22571967579653429</v>
      </c>
      <c r="N41" s="474">
        <f t="shared" si="44"/>
        <v>0.21186299081035931</v>
      </c>
      <c r="O41" s="474">
        <f t="shared" si="44"/>
        <v>0.18876135216952572</v>
      </c>
      <c r="P41" s="165">
        <f t="shared" si="44"/>
        <v>0.18876135216952572</v>
      </c>
      <c r="Q41" s="474">
        <f t="shared" si="44"/>
        <v>0.17273176833347881</v>
      </c>
      <c r="R41" s="474">
        <f t="shared" si="44"/>
        <v>0.1702151916773551</v>
      </c>
      <c r="S41" s="474">
        <f t="shared" si="44"/>
        <v>0.16001654487798156</v>
      </c>
      <c r="T41" s="474">
        <f t="shared" si="44"/>
        <v>0.15128123507878399</v>
      </c>
      <c r="U41" s="165">
        <f t="shared" si="44"/>
        <v>0.15128123507878399</v>
      </c>
      <c r="V41" s="474">
        <f t="shared" si="44"/>
        <v>0.13392037703088189</v>
      </c>
      <c r="W41" s="474">
        <f t="shared" si="44"/>
        <v>0.12049102467301553</v>
      </c>
      <c r="X41" s="474">
        <f t="shared" si="44"/>
        <v>0.10485404583056002</v>
      </c>
      <c r="Y41" s="474">
        <f t="shared" si="44"/>
        <v>0.10377641068178156</v>
      </c>
      <c r="Z41" s="165">
        <f t="shared" si="44"/>
        <v>0.10377641068178156</v>
      </c>
      <c r="AA41" s="474">
        <f t="shared" si="44"/>
        <v>8.0084875530472166E-2</v>
      </c>
      <c r="AB41" s="474">
        <f t="shared" si="44"/>
        <v>9.3883140596469961E-2</v>
      </c>
      <c r="AC41" s="474">
        <f t="shared" si="44"/>
        <v>0.10469244174788606</v>
      </c>
      <c r="AD41" s="474">
        <f t="shared" si="44"/>
        <v>0.10239014716626649</v>
      </c>
      <c r="AE41" s="165">
        <f t="shared" si="44"/>
        <v>0.10239014716626649</v>
      </c>
      <c r="AF41" s="474">
        <f t="shared" si="44"/>
        <v>0.1156860759493672</v>
      </c>
      <c r="AG41" s="474">
        <f t="shared" si="44"/>
        <v>0.11199650259324767</v>
      </c>
      <c r="AH41" s="474">
        <f t="shared" si="44"/>
        <v>0.10929983445320879</v>
      </c>
      <c r="AI41" s="474">
        <f t="shared" si="44"/>
        <v>0.10747964400681687</v>
      </c>
      <c r="AJ41" s="165">
        <f t="shared" si="44"/>
        <v>0.10747964400681687</v>
      </c>
      <c r="AK41" s="474">
        <f t="shared" si="44"/>
        <v>9.3343257029789184E-2</v>
      </c>
      <c r="AL41" s="474">
        <f t="shared" si="44"/>
        <v>7.4054218266945471E-2</v>
      </c>
      <c r="AM41" s="474">
        <f t="shared" si="44"/>
        <v>6.4311673718770335E-2</v>
      </c>
      <c r="AN41" s="474">
        <f t="shared" si="44"/>
        <v>4.3719864582977053E-2</v>
      </c>
      <c r="AO41" s="165">
        <f t="shared" si="44"/>
        <v>4.3719864582977053E-2</v>
      </c>
      <c r="AP41" s="474"/>
      <c r="AQ41" s="474"/>
      <c r="AR41" s="474"/>
      <c r="AS41" s="474"/>
      <c r="AT41" s="165"/>
      <c r="AU41" s="474"/>
      <c r="AV41" s="474"/>
      <c r="AW41" s="598"/>
      <c r="AX41" s="474"/>
      <c r="AY41" s="165"/>
      <c r="AZ41" s="474"/>
      <c r="BA41" s="474"/>
      <c r="BB41" s="474"/>
      <c r="BC41" s="474"/>
      <c r="BD41" s="165"/>
      <c r="BE41" s="165"/>
      <c r="BF41" s="165"/>
      <c r="BG41" s="165"/>
      <c r="BH41" s="648"/>
    </row>
    <row r="42" spans="1:60" customFormat="1" hidden="1" outlineLevel="2" x14ac:dyDescent="0.25">
      <c r="A42" s="279" t="s">
        <v>458</v>
      </c>
      <c r="B42" s="484"/>
      <c r="C42" s="803"/>
      <c r="D42" s="803"/>
      <c r="E42" s="803"/>
      <c r="F42" s="803"/>
      <c r="G42" s="406">
        <f>+G39-F39</f>
        <v>2442</v>
      </c>
      <c r="H42" s="406">
        <f>+H39-G39</f>
        <v>711</v>
      </c>
      <c r="I42" s="406">
        <f>+I39-H39</f>
        <v>1301</v>
      </c>
      <c r="J42" s="406">
        <f>+J39-I39</f>
        <v>1787</v>
      </c>
      <c r="K42" s="803">
        <f>SUM(G42,H42,I42,J42)</f>
        <v>6241</v>
      </c>
      <c r="L42" s="406">
        <f>+L39-K39</f>
        <v>2665</v>
      </c>
      <c r="M42" s="406">
        <f>+M39-L39</f>
        <v>708</v>
      </c>
      <c r="N42" s="406">
        <f>+N39-M39</f>
        <v>1180</v>
      </c>
      <c r="O42" s="406">
        <f>+O39-N39</f>
        <v>1433</v>
      </c>
      <c r="P42" s="803">
        <f>SUM(L42,M42,N42,O42)</f>
        <v>5986</v>
      </c>
      <c r="Q42" s="406">
        <f>+Q39-P39</f>
        <v>2617</v>
      </c>
      <c r="R42" s="406">
        <f>+R39-Q39</f>
        <v>742</v>
      </c>
      <c r="S42" s="406">
        <f>+S39-R39</f>
        <v>1011</v>
      </c>
      <c r="T42" s="406">
        <f>+T39-S39</f>
        <v>1333</v>
      </c>
      <c r="U42" s="803">
        <f>SUM(Q42,R42,S42,T42)</f>
        <v>5703</v>
      </c>
      <c r="V42" s="406">
        <f>+V39-U39</f>
        <v>2313</v>
      </c>
      <c r="W42" s="406">
        <f>+W39-V39</f>
        <v>290</v>
      </c>
      <c r="X42" s="406">
        <f>+X39-W39</f>
        <v>475</v>
      </c>
      <c r="Y42" s="406">
        <f>+Y39-X39</f>
        <v>1426</v>
      </c>
      <c r="Z42" s="803">
        <f>SUM(V42,W42,X42,Y42)</f>
        <v>4504</v>
      </c>
      <c r="AA42" s="406">
        <f>+AA39-Z39</f>
        <v>1470</v>
      </c>
      <c r="AB42" s="406">
        <f>+AB39-AA39</f>
        <v>948</v>
      </c>
      <c r="AC42" s="406">
        <f>+AC39-AB39</f>
        <v>1022</v>
      </c>
      <c r="AD42" s="406">
        <f>+AD39-AC39</f>
        <v>1465</v>
      </c>
      <c r="AE42" s="803">
        <f>SUM(AA42,AB42,AC42,AD42)</f>
        <v>4905</v>
      </c>
      <c r="AF42" s="280">
        <f>+AF39-AE39</f>
        <v>2277</v>
      </c>
      <c r="AG42" s="280">
        <f>+AG39-AF39</f>
        <v>872</v>
      </c>
      <c r="AH42" s="280">
        <f>+AH39-AG39</f>
        <v>998</v>
      </c>
      <c r="AI42" s="280">
        <f>+AI39-AH39</f>
        <v>1529</v>
      </c>
      <c r="AJ42" s="375">
        <f>SUM(AF42,AG42,AH42,AI42)</f>
        <v>5676</v>
      </c>
      <c r="AK42" s="280">
        <f>+AK39-AJ39</f>
        <v>1743</v>
      </c>
      <c r="AL42" s="280">
        <f>+AL39-AK39</f>
        <v>-126</v>
      </c>
      <c r="AM42" s="280">
        <f>+AM39-AL39</f>
        <v>517</v>
      </c>
      <c r="AN42" s="280">
        <f>+AN39-AM39</f>
        <v>423</v>
      </c>
      <c r="AO42" s="375">
        <f>SUM(AK42,AL42,AM42,AN42)</f>
        <v>2557</v>
      </c>
      <c r="AP42" s="406"/>
      <c r="AQ42" s="406"/>
      <c r="AR42" s="406"/>
      <c r="AS42" s="406"/>
      <c r="AT42" s="803"/>
      <c r="AU42" s="406"/>
      <c r="AV42" s="406"/>
      <c r="AW42" s="572"/>
      <c r="AX42" s="406"/>
      <c r="AY42" s="803"/>
      <c r="AZ42" s="406"/>
      <c r="BA42" s="406"/>
      <c r="BB42" s="406"/>
      <c r="BC42" s="406"/>
      <c r="BD42" s="803"/>
      <c r="BE42" s="803"/>
      <c r="BF42" s="803"/>
      <c r="BG42" s="803"/>
      <c r="BH42" s="280"/>
    </row>
    <row r="43" spans="1:60" customFormat="1" hidden="1" outlineLevel="2" x14ac:dyDescent="0.25">
      <c r="A43" s="279" t="s">
        <v>452</v>
      </c>
      <c r="B43" s="484"/>
      <c r="C43" s="803"/>
      <c r="D43" s="803"/>
      <c r="E43" s="803"/>
      <c r="F43" s="803"/>
      <c r="G43" s="406"/>
      <c r="H43" s="406"/>
      <c r="I43" s="406"/>
      <c r="J43" s="406"/>
      <c r="K43" s="803"/>
      <c r="L43" s="406"/>
      <c r="M43" s="406"/>
      <c r="N43" s="406"/>
      <c r="O43" s="406"/>
      <c r="P43" s="803"/>
      <c r="Q43" s="406"/>
      <c r="R43" s="406"/>
      <c r="S43" s="406"/>
      <c r="T43" s="406"/>
      <c r="U43" s="803"/>
      <c r="V43" s="406"/>
      <c r="W43" s="406"/>
      <c r="X43" s="406"/>
      <c r="Y43" s="406"/>
      <c r="Z43" s="803"/>
      <c r="AA43" s="280">
        <f t="shared" ref="AA43:AO43" si="45">+AA50-AA39</f>
        <v>5200</v>
      </c>
      <c r="AB43" s="280">
        <f t="shared" si="45"/>
        <v>5294</v>
      </c>
      <c r="AC43" s="280">
        <f t="shared" si="45"/>
        <v>5434</v>
      </c>
      <c r="AD43" s="280">
        <f t="shared" si="45"/>
        <v>5612</v>
      </c>
      <c r="AE43" s="375">
        <f t="shared" si="45"/>
        <v>5612</v>
      </c>
      <c r="AF43" s="280">
        <f t="shared" si="45"/>
        <v>5822</v>
      </c>
      <c r="AG43" s="280">
        <f t="shared" si="45"/>
        <v>5911</v>
      </c>
      <c r="AH43" s="280">
        <f t="shared" si="45"/>
        <v>6053</v>
      </c>
      <c r="AI43" s="280">
        <f t="shared" si="45"/>
        <v>6271</v>
      </c>
      <c r="AJ43" s="375">
        <f t="shared" si="45"/>
        <v>6271</v>
      </c>
      <c r="AK43" s="280">
        <f t="shared" si="45"/>
        <v>6404</v>
      </c>
      <c r="AL43" s="280">
        <f t="shared" si="45"/>
        <v>6398</v>
      </c>
      <c r="AM43" s="280">
        <f t="shared" si="45"/>
        <v>6494</v>
      </c>
      <c r="AN43" s="280">
        <f t="shared" si="45"/>
        <v>6619</v>
      </c>
      <c r="AO43" s="375">
        <f t="shared" si="45"/>
        <v>6619</v>
      </c>
      <c r="AP43" s="406"/>
      <c r="AQ43" s="406"/>
      <c r="AR43" s="406"/>
      <c r="AS43" s="406"/>
      <c r="AT43" s="803"/>
      <c r="AU43" s="406"/>
      <c r="AV43" s="406"/>
      <c r="AW43" s="572"/>
      <c r="AX43" s="406"/>
      <c r="AY43" s="803"/>
      <c r="AZ43" s="406"/>
      <c r="BA43" s="406"/>
      <c r="BB43" s="406"/>
      <c r="BC43" s="406"/>
      <c r="BD43" s="803"/>
      <c r="BE43" s="803"/>
      <c r="BF43" s="803"/>
      <c r="BG43" s="803"/>
      <c r="BH43" s="280"/>
    </row>
    <row r="44" spans="1:60" s="655" customFormat="1" hidden="1" outlineLevel="2" x14ac:dyDescent="0.25">
      <c r="A44" s="744" t="s">
        <v>608</v>
      </c>
      <c r="B44" s="654"/>
      <c r="C44" s="796"/>
      <c r="D44" s="796"/>
      <c r="E44" s="796"/>
      <c r="F44" s="796"/>
      <c r="G44" s="163"/>
      <c r="H44" s="163"/>
      <c r="I44" s="163"/>
      <c r="J44" s="163"/>
      <c r="K44" s="796"/>
      <c r="L44" s="163"/>
      <c r="M44" s="163"/>
      <c r="N44" s="163"/>
      <c r="O44" s="163"/>
      <c r="P44" s="796"/>
      <c r="Q44" s="163"/>
      <c r="R44" s="163"/>
      <c r="S44" s="163"/>
      <c r="T44" s="163"/>
      <c r="U44" s="796"/>
      <c r="V44" s="163"/>
      <c r="W44" s="163"/>
      <c r="X44" s="163"/>
      <c r="Y44" s="163"/>
      <c r="Z44" s="796"/>
      <c r="AA44" s="163"/>
      <c r="AB44" s="648">
        <f>AB43/AA43-1</f>
        <v>1.8076923076923102E-2</v>
      </c>
      <c r="AC44" s="648">
        <f>AC43/AB43-1</f>
        <v>2.6445032111824807E-2</v>
      </c>
      <c r="AD44" s="648">
        <f>AD43/AC43-1</f>
        <v>3.275671696724336E-2</v>
      </c>
      <c r="AE44" s="796"/>
      <c r="AF44" s="648">
        <f>AF43/AD43-1</f>
        <v>3.7419814682822627E-2</v>
      </c>
      <c r="AG44" s="648">
        <f>AG43/AF43-1</f>
        <v>1.5286843009275186E-2</v>
      </c>
      <c r="AH44" s="648">
        <f>AH43/AG43-1</f>
        <v>2.402300795127732E-2</v>
      </c>
      <c r="AI44" s="648">
        <f>AI43/AH43-1</f>
        <v>3.6015199074838966E-2</v>
      </c>
      <c r="AJ44" s="796"/>
      <c r="AK44" s="648">
        <f>AK43/AI43-1</f>
        <v>2.1208738638175628E-2</v>
      </c>
      <c r="AL44" s="648">
        <f>AL43/AK43-1</f>
        <v>-9.3691442848220507E-4</v>
      </c>
      <c r="AM44" s="648">
        <f>AM43/AL43-1</f>
        <v>1.5004688965301716E-2</v>
      </c>
      <c r="AN44" s="648">
        <f>AN43/AM43-1</f>
        <v>1.9248537111179465E-2</v>
      </c>
      <c r="AO44" s="796"/>
      <c r="AP44" s="163"/>
      <c r="AQ44" s="163"/>
      <c r="AR44" s="163"/>
      <c r="AS44" s="163"/>
      <c r="AT44" s="796"/>
      <c r="AU44" s="163"/>
      <c r="AV44" s="163"/>
      <c r="AW44" s="637"/>
      <c r="AX44" s="163"/>
      <c r="AY44" s="796"/>
      <c r="AZ44" s="163"/>
      <c r="BA44" s="163"/>
      <c r="BB44" s="163"/>
      <c r="BC44" s="163"/>
      <c r="BD44" s="796"/>
      <c r="BE44" s="796"/>
      <c r="BF44" s="796"/>
      <c r="BG44" s="796"/>
      <c r="BH44" s="648"/>
    </row>
    <row r="45" spans="1:60" s="649" customFormat="1" hidden="1" outlineLevel="2" x14ac:dyDescent="0.25">
      <c r="A45" s="806" t="s">
        <v>609</v>
      </c>
      <c r="B45" s="643"/>
      <c r="C45" s="165"/>
      <c r="D45" s="165"/>
      <c r="E45" s="165"/>
      <c r="F45" s="165"/>
      <c r="G45" s="474"/>
      <c r="H45" s="474"/>
      <c r="I45" s="474"/>
      <c r="J45" s="474"/>
      <c r="K45" s="165"/>
      <c r="L45" s="474"/>
      <c r="M45" s="474"/>
      <c r="N45" s="474"/>
      <c r="O45" s="474"/>
      <c r="P45" s="165"/>
      <c r="Q45" s="474"/>
      <c r="R45" s="474"/>
      <c r="S45" s="474"/>
      <c r="T45" s="474"/>
      <c r="U45" s="165"/>
      <c r="V45" s="474"/>
      <c r="W45" s="474"/>
      <c r="X45" s="474"/>
      <c r="Y45" s="474"/>
      <c r="Z45" s="165"/>
      <c r="AA45" s="474"/>
      <c r="AB45" s="474"/>
      <c r="AC45" s="474"/>
      <c r="AD45" s="474"/>
      <c r="AE45" s="165"/>
      <c r="AF45" s="474">
        <f t="shared" ref="AF45:AO45" si="46">+AF43/AA43-1</f>
        <v>0.11961538461538468</v>
      </c>
      <c r="AG45" s="474">
        <f t="shared" si="46"/>
        <v>0.11654703437854175</v>
      </c>
      <c r="AH45" s="474">
        <f t="shared" si="46"/>
        <v>0.11391240338608766</v>
      </c>
      <c r="AI45" s="474">
        <f t="shared" si="46"/>
        <v>0.11742694226657169</v>
      </c>
      <c r="AJ45" s="165">
        <f t="shared" si="46"/>
        <v>0.11742694226657169</v>
      </c>
      <c r="AK45" s="474">
        <f t="shared" si="46"/>
        <v>9.996564754379933E-2</v>
      </c>
      <c r="AL45" s="474">
        <f t="shared" si="46"/>
        <v>8.2388766706141148E-2</v>
      </c>
      <c r="AM45" s="474">
        <f t="shared" si="46"/>
        <v>7.2856434825706362E-2</v>
      </c>
      <c r="AN45" s="474">
        <f t="shared" si="46"/>
        <v>5.5493541699888294E-2</v>
      </c>
      <c r="AO45" s="165">
        <f t="shared" si="46"/>
        <v>5.5493541699888294E-2</v>
      </c>
      <c r="AP45" s="474"/>
      <c r="AQ45" s="474"/>
      <c r="AR45" s="474"/>
      <c r="AS45" s="474"/>
      <c r="AT45" s="165"/>
      <c r="AU45" s="474"/>
      <c r="AV45" s="474"/>
      <c r="AW45" s="598"/>
      <c r="AX45" s="474"/>
      <c r="AY45" s="165"/>
      <c r="AZ45" s="474"/>
      <c r="BA45" s="474"/>
      <c r="BB45" s="474"/>
      <c r="BC45" s="474"/>
      <c r="BD45" s="165"/>
      <c r="BE45" s="165"/>
      <c r="BF45" s="165"/>
      <c r="BG45" s="165"/>
      <c r="BH45" s="648"/>
    </row>
    <row r="46" spans="1:60" customFormat="1" hidden="1" outlineLevel="2" x14ac:dyDescent="0.25">
      <c r="A46" s="279" t="s">
        <v>459</v>
      </c>
      <c r="B46" s="484"/>
      <c r="C46" s="803"/>
      <c r="D46" s="803"/>
      <c r="E46" s="803"/>
      <c r="F46" s="803"/>
      <c r="G46" s="406"/>
      <c r="H46" s="406"/>
      <c r="I46" s="406"/>
      <c r="J46" s="406"/>
      <c r="K46" s="803"/>
      <c r="L46" s="406"/>
      <c r="M46" s="406"/>
      <c r="N46" s="406"/>
      <c r="O46" s="406"/>
      <c r="P46" s="803"/>
      <c r="Q46" s="406"/>
      <c r="R46" s="406"/>
      <c r="S46" s="406"/>
      <c r="T46" s="406"/>
      <c r="U46" s="803"/>
      <c r="V46" s="406"/>
      <c r="W46" s="406"/>
      <c r="X46" s="406"/>
      <c r="Y46" s="406"/>
      <c r="Z46" s="803"/>
      <c r="AA46" s="406">
        <f>AA49-AA42</f>
        <v>194</v>
      </c>
      <c r="AB46" s="406">
        <f>+AB43-AA43</f>
        <v>94</v>
      </c>
      <c r="AC46" s="406">
        <f>+AC43-AB43</f>
        <v>140</v>
      </c>
      <c r="AD46" s="406">
        <f>+AD43-AC43</f>
        <v>178</v>
      </c>
      <c r="AE46" s="803">
        <f>SUM(AA46,AB46,AC46,AD46)</f>
        <v>606</v>
      </c>
      <c r="AF46" s="280">
        <f>+AF43-AE43</f>
        <v>210</v>
      </c>
      <c r="AG46" s="280">
        <f>+AG43-AF43</f>
        <v>89</v>
      </c>
      <c r="AH46" s="280">
        <f>+AH43-AG43</f>
        <v>142</v>
      </c>
      <c r="AI46" s="280">
        <f>+AI43-AH43</f>
        <v>218</v>
      </c>
      <c r="AJ46" s="375">
        <f>SUM(AF46,AG46,AH46,AI46)</f>
        <v>659</v>
      </c>
      <c r="AK46" s="280">
        <f>+AK43-AJ43</f>
        <v>133</v>
      </c>
      <c r="AL46" s="280">
        <f>+AL43-AK43</f>
        <v>-6</v>
      </c>
      <c r="AM46" s="280">
        <f>+AM43-AL43</f>
        <v>96</v>
      </c>
      <c r="AN46" s="280">
        <f>+AN43-AM43</f>
        <v>125</v>
      </c>
      <c r="AO46" s="375">
        <f>SUM(AK46,AL46,AM46,AN46)</f>
        <v>348</v>
      </c>
      <c r="AP46" s="406"/>
      <c r="AQ46" s="406"/>
      <c r="AR46" s="406"/>
      <c r="AS46" s="406"/>
      <c r="AT46" s="803"/>
      <c r="AU46" s="406"/>
      <c r="AV46" s="406"/>
      <c r="AW46" s="572"/>
      <c r="AX46" s="406"/>
      <c r="AY46" s="803"/>
      <c r="AZ46" s="406"/>
      <c r="BA46" s="406"/>
      <c r="BB46" s="406"/>
      <c r="BC46" s="406"/>
      <c r="BD46" s="803"/>
      <c r="BE46" s="803"/>
      <c r="BF46" s="803"/>
      <c r="BG46" s="803"/>
      <c r="BH46" s="280"/>
    </row>
    <row r="47" spans="1:60" s="420" customFormat="1" hidden="1" outlineLevel="2" x14ac:dyDescent="0.25">
      <c r="A47" s="178"/>
      <c r="B47" s="790"/>
      <c r="C47" s="854"/>
      <c r="D47" s="854"/>
      <c r="E47" s="854"/>
      <c r="F47" s="854"/>
      <c r="G47" s="855"/>
      <c r="H47" s="855"/>
      <c r="I47" s="855"/>
      <c r="J47" s="855"/>
      <c r="K47" s="854"/>
      <c r="L47" s="855"/>
      <c r="M47" s="855"/>
      <c r="N47" s="855"/>
      <c r="O47" s="855"/>
      <c r="P47" s="854"/>
      <c r="Q47" s="855"/>
      <c r="R47" s="855"/>
      <c r="S47" s="855"/>
      <c r="T47" s="855"/>
      <c r="U47" s="854"/>
      <c r="V47" s="855"/>
      <c r="W47" s="855"/>
      <c r="X47" s="855"/>
      <c r="Y47" s="855"/>
      <c r="Z47" s="854"/>
      <c r="AA47" s="855"/>
      <c r="AB47" s="855"/>
      <c r="AC47" s="855"/>
      <c r="AD47" s="855"/>
      <c r="AE47" s="854"/>
      <c r="AF47" s="855"/>
      <c r="AG47" s="855"/>
      <c r="AH47" s="855"/>
      <c r="AI47" s="855"/>
      <c r="AJ47" s="854"/>
      <c r="AK47" s="855"/>
      <c r="AL47" s="855"/>
      <c r="AM47" s="855"/>
      <c r="AN47" s="855"/>
      <c r="AO47" s="854"/>
      <c r="AP47" s="855"/>
      <c r="AQ47" s="855"/>
      <c r="AR47" s="855"/>
      <c r="AS47" s="855"/>
      <c r="AT47" s="854"/>
      <c r="AU47" s="855"/>
      <c r="AV47" s="855"/>
      <c r="AW47" s="863"/>
      <c r="AX47" s="855"/>
      <c r="AY47" s="854"/>
      <c r="AZ47" s="855"/>
      <c r="BA47" s="855"/>
      <c r="BB47" s="855"/>
      <c r="BC47" s="855"/>
      <c r="BD47" s="854"/>
      <c r="BE47" s="854"/>
      <c r="BF47" s="854"/>
      <c r="BG47" s="854"/>
      <c r="BH47" s="821"/>
    </row>
    <row r="48" spans="1:60" s="378" customFormat="1" hidden="1" outlineLevel="1" collapsed="1" x14ac:dyDescent="0.25">
      <c r="A48" s="486" t="s">
        <v>741</v>
      </c>
      <c r="B48" s="736"/>
      <c r="C48" s="440"/>
      <c r="D48" s="440"/>
      <c r="E48" s="440"/>
      <c r="F48" s="440"/>
      <c r="G48" s="439"/>
      <c r="H48" s="439"/>
      <c r="I48" s="439"/>
      <c r="J48" s="439"/>
      <c r="K48" s="440"/>
      <c r="L48" s="439"/>
      <c r="M48" s="439"/>
      <c r="N48" s="439"/>
      <c r="O48" s="439"/>
      <c r="P48" s="440"/>
      <c r="Q48" s="439"/>
      <c r="R48" s="439"/>
      <c r="S48" s="439"/>
      <c r="T48" s="439"/>
      <c r="U48" s="440"/>
      <c r="V48" s="439"/>
      <c r="W48" s="439"/>
      <c r="X48" s="439"/>
      <c r="Y48" s="439"/>
      <c r="Z48" s="440"/>
      <c r="AA48" s="439">
        <f>AA54*2-AA50</f>
        <v>52911</v>
      </c>
      <c r="AB48" s="439">
        <f>AA50</f>
        <v>54575</v>
      </c>
      <c r="AC48" s="439">
        <f>AB50</f>
        <v>55617</v>
      </c>
      <c r="AD48" s="439">
        <f>AC50</f>
        <v>56779</v>
      </c>
      <c r="AE48" s="440">
        <f>AA48</f>
        <v>52911</v>
      </c>
      <c r="AF48" s="439">
        <f>AE50</f>
        <v>58422</v>
      </c>
      <c r="AG48" s="439">
        <f>AF50</f>
        <v>60909</v>
      </c>
      <c r="AH48" s="439">
        <f>AG50</f>
        <v>61870</v>
      </c>
      <c r="AI48" s="439">
        <f>AH50</f>
        <v>63010</v>
      </c>
      <c r="AJ48" s="440">
        <f>AE50</f>
        <v>58422</v>
      </c>
      <c r="AK48" s="439">
        <f>AJ50</f>
        <v>64757</v>
      </c>
      <c r="AL48" s="439">
        <f>AK50</f>
        <v>66633</v>
      </c>
      <c r="AM48" s="439">
        <f>AL50</f>
        <v>66501</v>
      </c>
      <c r="AN48" s="439">
        <f>AM50</f>
        <v>67114</v>
      </c>
      <c r="AO48" s="440">
        <f>AJ50</f>
        <v>64757</v>
      </c>
      <c r="AP48" s="439">
        <f>AO50</f>
        <v>67662</v>
      </c>
      <c r="AQ48" s="439">
        <f>AP50</f>
        <v>69969</v>
      </c>
      <c r="AR48" s="439">
        <f>AQ50</f>
        <v>72904</v>
      </c>
      <c r="AS48" s="439">
        <f>AR50</f>
        <v>73081</v>
      </c>
      <c r="AT48" s="440">
        <f>AO50</f>
        <v>67662</v>
      </c>
      <c r="AU48" s="439">
        <f>AT50</f>
        <v>73936</v>
      </c>
      <c r="AV48" s="439">
        <f>AU50</f>
        <v>74384</v>
      </c>
      <c r="AW48" s="583">
        <f>AV50</f>
        <v>73951</v>
      </c>
      <c r="AX48" s="439">
        <f>AW50</f>
        <v>74024</v>
      </c>
      <c r="AY48" s="440">
        <f>AT50</f>
        <v>73936</v>
      </c>
      <c r="AZ48" s="439">
        <f>AY50</f>
        <v>74764.240000000005</v>
      </c>
      <c r="BA48" s="439">
        <f>AZ50</f>
        <v>75511.882400000002</v>
      </c>
      <c r="BB48" s="439">
        <f>BA50</f>
        <v>76267.001224000007</v>
      </c>
      <c r="BC48" s="439">
        <f>BB50</f>
        <v>77029.671236240014</v>
      </c>
      <c r="BD48" s="440">
        <f>AY50</f>
        <v>74764.240000000005</v>
      </c>
      <c r="BE48" s="440">
        <f>BD50</f>
        <v>77799.967948602411</v>
      </c>
      <c r="BF48" s="440">
        <f>BE50</f>
        <v>80133.966987060485</v>
      </c>
      <c r="BG48" s="440">
        <f>BF50</f>
        <v>82537.985996672302</v>
      </c>
      <c r="BH48" s="89"/>
    </row>
    <row r="49" spans="1:60" s="57" customFormat="1" hidden="1" outlineLevel="1" x14ac:dyDescent="0.25">
      <c r="A49" s="401" t="s">
        <v>599</v>
      </c>
      <c r="B49" s="488"/>
      <c r="C49" s="548"/>
      <c r="D49" s="548"/>
      <c r="E49" s="548"/>
      <c r="F49" s="548"/>
      <c r="G49" s="489"/>
      <c r="H49" s="489"/>
      <c r="I49" s="489"/>
      <c r="J49" s="489"/>
      <c r="K49" s="548"/>
      <c r="L49" s="489"/>
      <c r="M49" s="489"/>
      <c r="N49" s="489"/>
      <c r="O49" s="489"/>
      <c r="P49" s="548"/>
      <c r="Q49" s="489"/>
      <c r="R49" s="489"/>
      <c r="S49" s="489"/>
      <c r="T49" s="489"/>
      <c r="U49" s="548"/>
      <c r="V49" s="489"/>
      <c r="W49" s="489"/>
      <c r="X49" s="489"/>
      <c r="Y49" s="489"/>
      <c r="Z49" s="548"/>
      <c r="AA49" s="489">
        <f>AA50-AA48</f>
        <v>1664</v>
      </c>
      <c r="AB49" s="489">
        <f>AB50-AB48</f>
        <v>1042</v>
      </c>
      <c r="AC49" s="489">
        <f>AC50-AC48</f>
        <v>1162</v>
      </c>
      <c r="AD49" s="489">
        <f>AD50-AD48</f>
        <v>1643</v>
      </c>
      <c r="AE49" s="548">
        <f>SUM(AA49,AB49,AC49,AD49)</f>
        <v>5511</v>
      </c>
      <c r="AF49" s="403">
        <f>AF50-AF48</f>
        <v>2487</v>
      </c>
      <c r="AG49" s="403">
        <f>AG50-AG48</f>
        <v>961</v>
      </c>
      <c r="AH49" s="403">
        <f>AH50-AH48</f>
        <v>1140</v>
      </c>
      <c r="AI49" s="403">
        <f>AI50-AI48</f>
        <v>1747</v>
      </c>
      <c r="AJ49" s="402">
        <f>SUM(AF49,AG49,AH49,AI49)</f>
        <v>6335</v>
      </c>
      <c r="AK49" s="403">
        <f>AK50-AK48</f>
        <v>1876</v>
      </c>
      <c r="AL49" s="403">
        <f>AL50-AL48</f>
        <v>-132</v>
      </c>
      <c r="AM49" s="403">
        <f>AM50-AM48</f>
        <v>613</v>
      </c>
      <c r="AN49" s="403">
        <f>AN50-AN48</f>
        <v>548</v>
      </c>
      <c r="AO49" s="402">
        <f>SUM(AK49,AL49,AM49,AN49)</f>
        <v>2905</v>
      </c>
      <c r="AP49" s="403">
        <f>AP50-AP48</f>
        <v>2307</v>
      </c>
      <c r="AQ49" s="403">
        <f>AQ50-AQ48</f>
        <v>2935</v>
      </c>
      <c r="AR49" s="403">
        <f>AR50-AR48</f>
        <v>177</v>
      </c>
      <c r="AS49" s="403">
        <f>AS50-AS48</f>
        <v>855</v>
      </c>
      <c r="AT49" s="402">
        <f>SUM(AP49,AQ49,AR49,AS49)</f>
        <v>6274</v>
      </c>
      <c r="AU49" s="403">
        <f>AU50-AU48</f>
        <v>448</v>
      </c>
      <c r="AV49" s="403">
        <f>AV50-AV48</f>
        <v>-433</v>
      </c>
      <c r="AW49" s="675">
        <f>AW50-AW48</f>
        <v>73</v>
      </c>
      <c r="AX49" s="403">
        <f>AX51*AX48</f>
        <v>740.24</v>
      </c>
      <c r="AY49" s="402">
        <f>SUM(AU49,AV49,AW49,AX49)</f>
        <v>828.24</v>
      </c>
      <c r="AZ49" s="403">
        <f>AZ51*AZ48</f>
        <v>747.64240000000007</v>
      </c>
      <c r="BA49" s="403">
        <f>BA51*BA48</f>
        <v>755.11882400000002</v>
      </c>
      <c r="BB49" s="403">
        <f>BB51*BB48</f>
        <v>762.67001224000012</v>
      </c>
      <c r="BC49" s="403">
        <f>BC51*BC48</f>
        <v>770.29671236240017</v>
      </c>
      <c r="BD49" s="402">
        <f>SUM(AZ49,BA49,BB49,BC49)</f>
        <v>3035.7279486024004</v>
      </c>
      <c r="BE49" s="402">
        <f>BE52*BE48</f>
        <v>2333.9990384580724</v>
      </c>
      <c r="BF49" s="402">
        <f>BF52*BF48</f>
        <v>2404.0190096118145</v>
      </c>
      <c r="BG49" s="402">
        <f>BG52*BG48</f>
        <v>2476.1395799001689</v>
      </c>
      <c r="BH49" s="280"/>
    </row>
    <row r="50" spans="1:60" s="58" customFormat="1" hidden="1" outlineLevel="1" x14ac:dyDescent="0.25">
      <c r="A50" s="379" t="s">
        <v>745</v>
      </c>
      <c r="B50" s="487"/>
      <c r="C50" s="400"/>
      <c r="D50" s="400"/>
      <c r="E50" s="400"/>
      <c r="F50" s="400"/>
      <c r="G50" s="399"/>
      <c r="H50" s="399"/>
      <c r="I50" s="399"/>
      <c r="J50" s="399"/>
      <c r="K50" s="400"/>
      <c r="L50" s="399"/>
      <c r="M50" s="399"/>
      <c r="N50" s="399"/>
      <c r="O50" s="399"/>
      <c r="P50" s="400"/>
      <c r="Q50" s="399"/>
      <c r="R50" s="399"/>
      <c r="S50" s="399"/>
      <c r="T50" s="399"/>
      <c r="U50" s="400"/>
      <c r="V50" s="399"/>
      <c r="W50" s="399"/>
      <c r="X50" s="399"/>
      <c r="Y50" s="399"/>
      <c r="Z50" s="400"/>
      <c r="AA50" s="89">
        <v>54575</v>
      </c>
      <c r="AB50" s="89">
        <v>55617</v>
      </c>
      <c r="AC50" s="89">
        <v>56779</v>
      </c>
      <c r="AD50" s="89">
        <v>58422</v>
      </c>
      <c r="AE50" s="377">
        <f>SUM(AE48:AE49)</f>
        <v>58422</v>
      </c>
      <c r="AF50" s="89">
        <v>60909</v>
      </c>
      <c r="AG50" s="89">
        <v>61870</v>
      </c>
      <c r="AH50" s="89">
        <v>63010</v>
      </c>
      <c r="AI50" s="89">
        <v>64757</v>
      </c>
      <c r="AJ50" s="377">
        <f>SUM(AJ48:AJ49)</f>
        <v>64757</v>
      </c>
      <c r="AK50" s="89">
        <v>66633</v>
      </c>
      <c r="AL50" s="89">
        <v>66501</v>
      </c>
      <c r="AM50" s="89">
        <v>67114</v>
      </c>
      <c r="AN50" s="89">
        <v>67662</v>
      </c>
      <c r="AO50" s="377">
        <f>SUM(AO48:AO49)</f>
        <v>67662</v>
      </c>
      <c r="AP50" s="89">
        <v>69969</v>
      </c>
      <c r="AQ50" s="89">
        <v>72904</v>
      </c>
      <c r="AR50" s="89">
        <v>73081</v>
      </c>
      <c r="AS50" s="89">
        <v>73936</v>
      </c>
      <c r="AT50" s="377">
        <f>SUM(AT48:AT49)</f>
        <v>73936</v>
      </c>
      <c r="AU50" s="89">
        <v>74384</v>
      </c>
      <c r="AV50" s="89">
        <v>73951</v>
      </c>
      <c r="AW50" s="647">
        <v>74024</v>
      </c>
      <c r="AX50" s="89">
        <f t="shared" ref="AX50:BG50" si="47">SUM(AX48:AX49)</f>
        <v>74764.240000000005</v>
      </c>
      <c r="AY50" s="377">
        <f t="shared" si="47"/>
        <v>74764.240000000005</v>
      </c>
      <c r="AZ50" s="89">
        <f t="shared" si="47"/>
        <v>75511.882400000002</v>
      </c>
      <c r="BA50" s="89">
        <f t="shared" si="47"/>
        <v>76267.001224000007</v>
      </c>
      <c r="BB50" s="89">
        <f t="shared" si="47"/>
        <v>77029.671236240014</v>
      </c>
      <c r="BC50" s="89">
        <f t="shared" si="47"/>
        <v>77799.967948602411</v>
      </c>
      <c r="BD50" s="377">
        <f t="shared" si="47"/>
        <v>77799.967948602411</v>
      </c>
      <c r="BE50" s="377">
        <f t="shared" si="47"/>
        <v>80133.966987060485</v>
      </c>
      <c r="BF50" s="377">
        <f t="shared" si="47"/>
        <v>82537.985996672302</v>
      </c>
      <c r="BG50" s="377">
        <f t="shared" si="47"/>
        <v>85014.125576572464</v>
      </c>
      <c r="BH50" s="89"/>
    </row>
    <row r="51" spans="1:60" s="58" customFormat="1" hidden="1" outlineLevel="1" x14ac:dyDescent="0.25">
      <c r="A51" s="651" t="s">
        <v>610</v>
      </c>
      <c r="B51" s="650"/>
      <c r="C51" s="796"/>
      <c r="D51" s="796"/>
      <c r="E51" s="796"/>
      <c r="F51" s="796"/>
      <c r="G51" s="163"/>
      <c r="H51" s="163"/>
      <c r="I51" s="163"/>
      <c r="J51" s="163"/>
      <c r="K51" s="796"/>
      <c r="L51" s="163"/>
      <c r="M51" s="163"/>
      <c r="N51" s="163"/>
      <c r="O51" s="163"/>
      <c r="P51" s="796"/>
      <c r="Q51" s="163"/>
      <c r="R51" s="163"/>
      <c r="S51" s="163"/>
      <c r="T51" s="163"/>
      <c r="U51" s="796"/>
      <c r="V51" s="163"/>
      <c r="W51" s="163"/>
      <c r="X51" s="163"/>
      <c r="Y51" s="163"/>
      <c r="Z51" s="796"/>
      <c r="AA51" s="163"/>
      <c r="AB51" s="648">
        <f>AB50/AA50-1</f>
        <v>1.909299129638109E-2</v>
      </c>
      <c r="AC51" s="648">
        <f>AC50/AB50-1</f>
        <v>2.0892892460938173E-2</v>
      </c>
      <c r="AD51" s="648">
        <f>AD50/AC50-1</f>
        <v>2.8936754786100582E-2</v>
      </c>
      <c r="AE51" s="796"/>
      <c r="AF51" s="648">
        <f>AF50/AD50-1</f>
        <v>4.2569579952757453E-2</v>
      </c>
      <c r="AG51" s="648">
        <f>AG50/AF50-1</f>
        <v>1.5777635489008235E-2</v>
      </c>
      <c r="AH51" s="648">
        <f>AH50/AG50-1</f>
        <v>1.8425731372232024E-2</v>
      </c>
      <c r="AI51" s="648">
        <f>AI50/AH50-1</f>
        <v>2.7725757816219554E-2</v>
      </c>
      <c r="AJ51" s="796"/>
      <c r="AK51" s="648">
        <f>AK50/AI50-1</f>
        <v>2.896984109825973E-2</v>
      </c>
      <c r="AL51" s="648">
        <f>AL50/AK50-1</f>
        <v>-1.9810004052046581E-3</v>
      </c>
      <c r="AM51" s="648">
        <f>AM50/AL50-1</f>
        <v>9.2179064976467551E-3</v>
      </c>
      <c r="AN51" s="648">
        <f>AN50/AM50-1</f>
        <v>8.1652114312960045E-3</v>
      </c>
      <c r="AO51" s="796"/>
      <c r="AP51" s="648">
        <f>AP50/AN50-1</f>
        <v>3.4095947503768764E-2</v>
      </c>
      <c r="AQ51" s="648">
        <f>AQ50/AP50-1</f>
        <v>4.1947148022695835E-2</v>
      </c>
      <c r="AR51" s="648">
        <f>AR50/AQ50-1</f>
        <v>2.4278503237133986E-3</v>
      </c>
      <c r="AS51" s="648">
        <f>AS50/AR50-1</f>
        <v>1.1699347299571672E-2</v>
      </c>
      <c r="AT51" s="796"/>
      <c r="AU51" s="648">
        <f>AU50/AS50-1</f>
        <v>6.0592945249946517E-3</v>
      </c>
      <c r="AV51" s="648">
        <f>AV50/AU50-1</f>
        <v>-5.8211443321144474E-3</v>
      </c>
      <c r="AW51" s="652">
        <f>AW50/AV50-1</f>
        <v>9.8714013333145445E-4</v>
      </c>
      <c r="AX51" s="653">
        <v>0.01</v>
      </c>
      <c r="AY51" s="796"/>
      <c r="AZ51" s="653">
        <v>0.01</v>
      </c>
      <c r="BA51" s="653">
        <v>0.01</v>
      </c>
      <c r="BB51" s="653">
        <v>0.01</v>
      </c>
      <c r="BC51" s="653">
        <v>0.01</v>
      </c>
      <c r="BD51" s="796"/>
      <c r="BE51" s="796"/>
      <c r="BF51" s="796"/>
      <c r="BG51" s="796"/>
      <c r="BH51" s="89"/>
    </row>
    <row r="52" spans="1:60" s="649" customFormat="1" hidden="1" outlineLevel="1" x14ac:dyDescent="0.25">
      <c r="A52" s="834" t="s">
        <v>611</v>
      </c>
      <c r="B52" s="643"/>
      <c r="C52" s="165"/>
      <c r="D52" s="165"/>
      <c r="E52" s="165"/>
      <c r="F52" s="165"/>
      <c r="G52" s="474"/>
      <c r="H52" s="474"/>
      <c r="I52" s="474"/>
      <c r="J52" s="474"/>
      <c r="K52" s="165"/>
      <c r="L52" s="474"/>
      <c r="M52" s="474"/>
      <c r="N52" s="474"/>
      <c r="O52" s="474"/>
      <c r="P52" s="165"/>
      <c r="Q52" s="474"/>
      <c r="R52" s="474"/>
      <c r="S52" s="474"/>
      <c r="T52" s="474"/>
      <c r="U52" s="165"/>
      <c r="V52" s="474"/>
      <c r="W52" s="474"/>
      <c r="X52" s="474"/>
      <c r="Y52" s="474"/>
      <c r="Z52" s="165"/>
      <c r="AA52" s="474"/>
      <c r="AB52" s="474"/>
      <c r="AC52" s="474"/>
      <c r="AD52" s="474"/>
      <c r="AE52" s="165"/>
      <c r="AF52" s="474">
        <f t="shared" ref="AF52:BD52" si="48">+AF50/AA50-1</f>
        <v>0.11606046724690788</v>
      </c>
      <c r="AG52" s="474">
        <f t="shared" si="48"/>
        <v>0.11242965280399875</v>
      </c>
      <c r="AH52" s="474">
        <f t="shared" si="48"/>
        <v>0.10974127758502261</v>
      </c>
      <c r="AI52" s="474">
        <f t="shared" si="48"/>
        <v>0.10843517852863638</v>
      </c>
      <c r="AJ52" s="165">
        <f t="shared" si="48"/>
        <v>0.10843517852863638</v>
      </c>
      <c r="AK52" s="474">
        <f t="shared" si="48"/>
        <v>9.3976259666059159E-2</v>
      </c>
      <c r="AL52" s="474">
        <f t="shared" si="48"/>
        <v>7.4850492969128712E-2</v>
      </c>
      <c r="AM52" s="474">
        <f t="shared" si="48"/>
        <v>6.5132518647833759E-2</v>
      </c>
      <c r="AN52" s="474">
        <f t="shared" si="48"/>
        <v>4.486001513349902E-2</v>
      </c>
      <c r="AO52" s="165">
        <f t="shared" si="48"/>
        <v>4.486001513349902E-2</v>
      </c>
      <c r="AP52" s="474">
        <f t="shared" si="48"/>
        <v>5.0065282967898694E-2</v>
      </c>
      <c r="AQ52" s="474">
        <f t="shared" si="48"/>
        <v>9.6284266402008933E-2</v>
      </c>
      <c r="AR52" s="474">
        <f t="shared" si="48"/>
        <v>8.8908424471794367E-2</v>
      </c>
      <c r="AS52" s="474">
        <f t="shared" si="48"/>
        <v>9.2725606692087181E-2</v>
      </c>
      <c r="AT52" s="165">
        <f t="shared" si="48"/>
        <v>9.2725606692087181E-2</v>
      </c>
      <c r="AU52" s="474">
        <f t="shared" si="48"/>
        <v>6.3099372579285218E-2</v>
      </c>
      <c r="AV52" s="474">
        <f t="shared" si="48"/>
        <v>1.4361351914846887E-2</v>
      </c>
      <c r="AW52" s="598">
        <f t="shared" si="48"/>
        <v>1.2903490647363958E-2</v>
      </c>
      <c r="AX52" s="436">
        <f t="shared" si="48"/>
        <v>1.1202120753083911E-2</v>
      </c>
      <c r="AY52" s="435">
        <f t="shared" si="48"/>
        <v>1.1202120753083911E-2</v>
      </c>
      <c r="AZ52" s="436">
        <f t="shared" si="48"/>
        <v>1.5162970531297004E-2</v>
      </c>
      <c r="BA52" s="436">
        <f t="shared" si="48"/>
        <v>3.1318051466511676E-2</v>
      </c>
      <c r="BB52" s="436">
        <f t="shared" si="48"/>
        <v>4.0604010000000246E-2</v>
      </c>
      <c r="BC52" s="436">
        <f t="shared" si="48"/>
        <v>4.0604010000000024E-2</v>
      </c>
      <c r="BD52" s="435">
        <f t="shared" si="48"/>
        <v>4.0604010000000024E-2</v>
      </c>
      <c r="BE52" s="438">
        <v>0.03</v>
      </c>
      <c r="BF52" s="438">
        <v>0.03</v>
      </c>
      <c r="BG52" s="438">
        <v>0.03</v>
      </c>
      <c r="BH52" s="648"/>
    </row>
    <row r="53" spans="1:60" s="753" customFormat="1" ht="7.5" hidden="1" customHeight="1" outlineLevel="1" x14ac:dyDescent="0.25">
      <c r="A53" s="807"/>
      <c r="B53" s="808"/>
      <c r="C53" s="547"/>
      <c r="D53" s="547"/>
      <c r="E53" s="547"/>
      <c r="F53" s="547"/>
      <c r="G53" s="483"/>
      <c r="H53" s="483"/>
      <c r="I53" s="483"/>
      <c r="J53" s="483"/>
      <c r="K53" s="547"/>
      <c r="L53" s="483"/>
      <c r="M53" s="483"/>
      <c r="N53" s="483"/>
      <c r="O53" s="483"/>
      <c r="P53" s="547"/>
      <c r="Q53" s="483"/>
      <c r="R53" s="483"/>
      <c r="S53" s="483"/>
      <c r="T53" s="483"/>
      <c r="U53" s="547"/>
      <c r="V53" s="483"/>
      <c r="W53" s="483"/>
      <c r="X53" s="483"/>
      <c r="Y53" s="483"/>
      <c r="Z53" s="547"/>
      <c r="AA53" s="483"/>
      <c r="AB53" s="483"/>
      <c r="AC53" s="483"/>
      <c r="AD53" s="483"/>
      <c r="AE53" s="547"/>
      <c r="AF53" s="483"/>
      <c r="AG53" s="483"/>
      <c r="AH53" s="483"/>
      <c r="AI53" s="483"/>
      <c r="AJ53" s="547"/>
      <c r="AK53" s="483"/>
      <c r="AL53" s="483"/>
      <c r="AM53" s="483"/>
      <c r="AN53" s="483"/>
      <c r="AO53" s="547"/>
      <c r="AP53" s="483"/>
      <c r="AQ53" s="483"/>
      <c r="AR53" s="483"/>
      <c r="AS53" s="483"/>
      <c r="AT53" s="547"/>
      <c r="AU53" s="483"/>
      <c r="AV53" s="483"/>
      <c r="AW53" s="571"/>
      <c r="AX53" s="810"/>
      <c r="AY53" s="809"/>
      <c r="AZ53" s="810"/>
      <c r="BA53" s="810"/>
      <c r="BB53" s="810"/>
      <c r="BC53" s="810"/>
      <c r="BD53" s="809"/>
      <c r="BE53" s="809"/>
      <c r="BF53" s="809"/>
      <c r="BG53" s="809"/>
      <c r="BH53" s="811"/>
    </row>
    <row r="54" spans="1:60" s="376" customFormat="1" hidden="1" outlineLevel="1" x14ac:dyDescent="0.25">
      <c r="A54" s="500" t="s">
        <v>709</v>
      </c>
      <c r="B54" s="804"/>
      <c r="C54" s="555"/>
      <c r="D54" s="555"/>
      <c r="E54" s="555"/>
      <c r="F54" s="555"/>
      <c r="G54" s="502"/>
      <c r="H54" s="502"/>
      <c r="I54" s="502"/>
      <c r="J54" s="502"/>
      <c r="K54" s="555"/>
      <c r="L54" s="502"/>
      <c r="M54" s="502"/>
      <c r="N54" s="502"/>
      <c r="O54" s="502"/>
      <c r="P54" s="555"/>
      <c r="Q54" s="502"/>
      <c r="R54" s="502"/>
      <c r="S54" s="502"/>
      <c r="T54" s="502"/>
      <c r="U54" s="555"/>
      <c r="V54" s="502"/>
      <c r="W54" s="502"/>
      <c r="X54" s="502"/>
      <c r="Y54" s="502"/>
      <c r="Z54" s="555"/>
      <c r="AA54" s="502">
        <v>53743</v>
      </c>
      <c r="AB54" s="502">
        <f>AVERAGE(AB50,AB48)</f>
        <v>55096</v>
      </c>
      <c r="AC54" s="502">
        <f>AVERAGE(AC50,AC48)</f>
        <v>56198</v>
      </c>
      <c r="AD54" s="502">
        <f>AVERAGE(AD50,AD48)</f>
        <v>57600.5</v>
      </c>
      <c r="AE54" s="555">
        <f>AVERAGE(AA54,AB54,AC54,AD54)</f>
        <v>55659.375</v>
      </c>
      <c r="AF54" s="502">
        <f>AVERAGE(AF50,AF48)</f>
        <v>59665.5</v>
      </c>
      <c r="AG54" s="502">
        <f>AVERAGE(AG50,AG48)</f>
        <v>61389.5</v>
      </c>
      <c r="AH54" s="502">
        <f>AVERAGE(AH50,AH48)</f>
        <v>62440</v>
      </c>
      <c r="AI54" s="502">
        <f>AVERAGE(AI50,AI48)</f>
        <v>63883.5</v>
      </c>
      <c r="AJ54" s="555">
        <f>AVERAGE(AF54,AG54,AH54,AI54)</f>
        <v>61844.625</v>
      </c>
      <c r="AK54" s="502">
        <f>AVERAGE(AK50,AK48)</f>
        <v>65695</v>
      </c>
      <c r="AL54" s="502">
        <f>AVERAGE(AL50,AL48)</f>
        <v>66567</v>
      </c>
      <c r="AM54" s="502">
        <f>AVERAGE(AM50,AM48)</f>
        <v>66807.5</v>
      </c>
      <c r="AN54" s="502">
        <f>AVERAGE(AN50,AN48)</f>
        <v>67388</v>
      </c>
      <c r="AO54" s="555">
        <f>AVERAGE(AK54,AL54,AM54,AN54)</f>
        <v>66614.375</v>
      </c>
      <c r="AP54" s="502">
        <f>AVERAGE(AP50,AP48)</f>
        <v>68815.5</v>
      </c>
      <c r="AQ54" s="502">
        <f>AVERAGE(AQ50,AQ48)</f>
        <v>71436.5</v>
      </c>
      <c r="AR54" s="502">
        <f>AVERAGE(AR50,AR48)</f>
        <v>72992.5</v>
      </c>
      <c r="AS54" s="502">
        <f>AVERAGE(AS50,AS48)</f>
        <v>73508.5</v>
      </c>
      <c r="AT54" s="555">
        <f>AVERAGE(AP54,AQ54,AR54,AS54)</f>
        <v>71688.25</v>
      </c>
      <c r="AU54" s="502">
        <f>AVERAGE(AU50,AU48)</f>
        <v>74160</v>
      </c>
      <c r="AV54" s="502">
        <f>AVERAGE(AV50,AV48)</f>
        <v>74167.5</v>
      </c>
      <c r="AW54" s="635">
        <f>AVERAGE(AW50,AW48)</f>
        <v>73987.5</v>
      </c>
      <c r="AX54" s="502">
        <f>AVERAGE(AX50,AX48)</f>
        <v>74394.12</v>
      </c>
      <c r="AY54" s="555">
        <f>AVERAGE(AU54,AV54,AW54,AX54)</f>
        <v>74177.279999999999</v>
      </c>
      <c r="AZ54" s="502">
        <f>AVERAGE(AZ50,AZ48)</f>
        <v>75138.061199999996</v>
      </c>
      <c r="BA54" s="502">
        <f>AVERAGE(BA50,BA48)</f>
        <v>75889.441812000005</v>
      </c>
      <c r="BB54" s="502">
        <f>AVERAGE(BB50,BB48)</f>
        <v>76648.33623012001</v>
      </c>
      <c r="BC54" s="502">
        <f>AVERAGE(BC50,BC48)</f>
        <v>77414.819592421205</v>
      </c>
      <c r="BD54" s="555">
        <f>AVERAGE(AZ54,BA54,BB54,BC54)</f>
        <v>76272.664708635304</v>
      </c>
      <c r="BE54" s="555">
        <f>AVERAGE(BE50,BE48)</f>
        <v>78966.967467831448</v>
      </c>
      <c r="BF54" s="555">
        <f>AVERAGE(BF50,BF48)</f>
        <v>81335.9764918664</v>
      </c>
      <c r="BG54" s="555">
        <f>AVERAGE(BG50,BG48)</f>
        <v>83776.055786622383</v>
      </c>
      <c r="BH54" s="280"/>
    </row>
    <row r="55" spans="1:60" s="378" customFormat="1" hidden="1" outlineLevel="1" x14ac:dyDescent="0.25">
      <c r="A55" s="681" t="s">
        <v>712</v>
      </c>
      <c r="B55" s="754"/>
      <c r="C55" s="165"/>
      <c r="D55" s="165"/>
      <c r="E55" s="165"/>
      <c r="F55" s="165"/>
      <c r="G55" s="474"/>
      <c r="H55" s="474"/>
      <c r="I55" s="474"/>
      <c r="J55" s="474"/>
      <c r="K55" s="165"/>
      <c r="L55" s="474"/>
      <c r="M55" s="474"/>
      <c r="N55" s="474"/>
      <c r="O55" s="474"/>
      <c r="P55" s="165"/>
      <c r="Q55" s="474"/>
      <c r="R55" s="474"/>
      <c r="S55" s="474"/>
      <c r="T55" s="474"/>
      <c r="U55" s="165"/>
      <c r="V55" s="474"/>
      <c r="W55" s="474"/>
      <c r="X55" s="474"/>
      <c r="Y55" s="474"/>
      <c r="Z55" s="165"/>
      <c r="AA55" s="474"/>
      <c r="AB55" s="474">
        <f>AB54/AA54-1</f>
        <v>2.5175371676311231E-2</v>
      </c>
      <c r="AC55" s="474">
        <f>AC54/AB54-1</f>
        <v>2.0001452011035203E-2</v>
      </c>
      <c r="AD55" s="474">
        <f>AD54/AC54-1</f>
        <v>2.4956404142496114E-2</v>
      </c>
      <c r="AE55" s="165"/>
      <c r="AF55" s="474">
        <f>AF54/AD54-1</f>
        <v>3.5850383243201112E-2</v>
      </c>
      <c r="AG55" s="474">
        <f>AG54/AF54-1</f>
        <v>2.8894419723290765E-2</v>
      </c>
      <c r="AH55" s="474">
        <f>AH54/AG54-1</f>
        <v>1.7112046848402507E-2</v>
      </c>
      <c r="AI55" s="474">
        <f>AI54/AH54-1</f>
        <v>2.3118193465727188E-2</v>
      </c>
      <c r="AJ55" s="165"/>
      <c r="AK55" s="474">
        <f>AK54/AI54-1</f>
        <v>2.8356304836147039E-2</v>
      </c>
      <c r="AL55" s="474">
        <f>AL54/AK54-1</f>
        <v>1.3273460689550154E-2</v>
      </c>
      <c r="AM55" s="474">
        <f>AM54/AL54-1</f>
        <v>3.6129012874246413E-3</v>
      </c>
      <c r="AN55" s="474">
        <f>AN54/AM54-1</f>
        <v>8.6891441829135552E-3</v>
      </c>
      <c r="AO55" s="165"/>
      <c r="AP55" s="474">
        <f>AP54/AN54-1</f>
        <v>2.1183296729388124E-2</v>
      </c>
      <c r="AQ55" s="474">
        <f>AQ54/AP54-1</f>
        <v>3.8087349507015089E-2</v>
      </c>
      <c r="AR55" s="474">
        <f>AR54/AQ54-1</f>
        <v>2.1781582244370767E-2</v>
      </c>
      <c r="AS55" s="474">
        <f>AS54/AR54-1</f>
        <v>7.0692194403534359E-3</v>
      </c>
      <c r="AT55" s="165"/>
      <c r="AU55" s="474">
        <f>AU54/AS54-1</f>
        <v>8.8629206146229045E-3</v>
      </c>
      <c r="AV55" s="474">
        <f>AV54/AU54-1</f>
        <v>1.0113268608424875E-4</v>
      </c>
      <c r="AW55" s="598">
        <f>AW54/AV54-1</f>
        <v>-2.4269390231570487E-3</v>
      </c>
      <c r="AX55" s="474">
        <f>AX54/AW54-1</f>
        <v>5.4957932083121719E-3</v>
      </c>
      <c r="AY55" s="165"/>
      <c r="AZ55" s="474">
        <f>AZ54/AX54-1</f>
        <v>1.0000000000000009E-2</v>
      </c>
      <c r="BA55" s="474">
        <f>BA54/AZ54-1</f>
        <v>1.0000000000000009E-2</v>
      </c>
      <c r="BB55" s="474">
        <f>BB54/BA54-1</f>
        <v>1.0000000000000009E-2</v>
      </c>
      <c r="BC55" s="474">
        <f>BC54/BB54-1</f>
        <v>1.0000000000000009E-2</v>
      </c>
      <c r="BD55" s="165"/>
      <c r="BE55" s="165"/>
      <c r="BF55" s="165"/>
      <c r="BG55" s="165"/>
      <c r="BH55" s="89"/>
    </row>
    <row r="56" spans="1:60" s="416" customFormat="1" hidden="1" outlineLevel="1" x14ac:dyDescent="0.25">
      <c r="A56" s="186" t="s">
        <v>713</v>
      </c>
      <c r="B56" s="643"/>
      <c r="C56" s="165"/>
      <c r="D56" s="165"/>
      <c r="E56" s="165"/>
      <c r="F56" s="165"/>
      <c r="G56" s="474"/>
      <c r="H56" s="474"/>
      <c r="I56" s="474"/>
      <c r="J56" s="474"/>
      <c r="K56" s="165"/>
      <c r="L56" s="474"/>
      <c r="M56" s="474"/>
      <c r="N56" s="474"/>
      <c r="O56" s="474"/>
      <c r="P56" s="165"/>
      <c r="Q56" s="474"/>
      <c r="R56" s="474"/>
      <c r="S56" s="474"/>
      <c r="T56" s="474"/>
      <c r="U56" s="165"/>
      <c r="V56" s="474"/>
      <c r="W56" s="474"/>
      <c r="X56" s="474"/>
      <c r="Y56" s="474"/>
      <c r="Z56" s="165"/>
      <c r="AA56" s="474"/>
      <c r="AB56" s="474"/>
      <c r="AC56" s="474"/>
      <c r="AD56" s="474"/>
      <c r="AE56" s="165"/>
      <c r="AF56" s="474">
        <f t="shared" ref="AF56:BD56" si="49">AF54/AA54-1</f>
        <v>0.11020039819139238</v>
      </c>
      <c r="AG56" s="474">
        <f t="shared" si="49"/>
        <v>0.11422789313198778</v>
      </c>
      <c r="AH56" s="474">
        <f t="shared" si="49"/>
        <v>0.11107156838321641</v>
      </c>
      <c r="AI56" s="474">
        <f t="shared" si="49"/>
        <v>0.10907891424553617</v>
      </c>
      <c r="AJ56" s="165">
        <f t="shared" si="49"/>
        <v>0.11112683173319859</v>
      </c>
      <c r="AK56" s="474">
        <f t="shared" si="49"/>
        <v>0.10105504856240199</v>
      </c>
      <c r="AL56" s="474">
        <f t="shared" si="49"/>
        <v>8.4338526946790671E-2</v>
      </c>
      <c r="AM56" s="474">
        <f t="shared" si="49"/>
        <v>6.9947149263292818E-2</v>
      </c>
      <c r="AN56" s="474">
        <f t="shared" si="49"/>
        <v>5.4857670603520425E-2</v>
      </c>
      <c r="AO56" s="165">
        <f t="shared" si="49"/>
        <v>7.712472991791941E-2</v>
      </c>
      <c r="AP56" s="474">
        <f t="shared" si="49"/>
        <v>4.7499809726767594E-2</v>
      </c>
      <c r="AQ56" s="474">
        <f t="shared" si="49"/>
        <v>7.3151862033740356E-2</v>
      </c>
      <c r="AR56" s="474">
        <f t="shared" si="49"/>
        <v>9.2579425962653783E-2</v>
      </c>
      <c r="AS56" s="474">
        <f t="shared" si="49"/>
        <v>9.0824775924496892E-2</v>
      </c>
      <c r="AT56" s="165">
        <f t="shared" si="49"/>
        <v>7.6167869172382163E-2</v>
      </c>
      <c r="AU56" s="474">
        <f t="shared" si="49"/>
        <v>7.7664189027181418E-2</v>
      </c>
      <c r="AV56" s="474">
        <f t="shared" si="49"/>
        <v>3.8229756497028866E-2</v>
      </c>
      <c r="AW56" s="598">
        <f t="shared" si="49"/>
        <v>1.3631537486728185E-2</v>
      </c>
      <c r="AX56" s="474">
        <f t="shared" si="49"/>
        <v>1.2047858410932033E-2</v>
      </c>
      <c r="AY56" s="165">
        <f t="shared" si="49"/>
        <v>3.4720194732051679E-2</v>
      </c>
      <c r="AZ56" s="474">
        <f t="shared" si="49"/>
        <v>1.318852750809052E-2</v>
      </c>
      <c r="BA56" s="474">
        <f t="shared" si="49"/>
        <v>2.3216932106380872E-2</v>
      </c>
      <c r="BB56" s="474">
        <f t="shared" si="49"/>
        <v>3.5963321238317469E-2</v>
      </c>
      <c r="BC56" s="474">
        <f t="shared" si="49"/>
        <v>4.0604010000000024E-2</v>
      </c>
      <c r="BD56" s="165">
        <f t="shared" si="49"/>
        <v>2.8248335725377105E-2</v>
      </c>
      <c r="BE56" s="165">
        <f>BE54/BD54-1</f>
        <v>3.5324618190389678E-2</v>
      </c>
      <c r="BF56" s="165">
        <f>BF54/BE54-1</f>
        <v>3.0000000000000027E-2</v>
      </c>
      <c r="BG56" s="165">
        <f>BG54/BF54-1</f>
        <v>2.9999999999999805E-2</v>
      </c>
      <c r="BH56" s="648"/>
    </row>
    <row r="57" spans="1:60" s="753" customFormat="1" ht="7.5" hidden="1" customHeight="1" outlineLevel="1" x14ac:dyDescent="0.25">
      <c r="A57" s="807"/>
      <c r="B57" s="808"/>
      <c r="C57" s="547"/>
      <c r="D57" s="547"/>
      <c r="E57" s="547"/>
      <c r="F57" s="547"/>
      <c r="G57" s="483"/>
      <c r="H57" s="483"/>
      <c r="I57" s="483"/>
      <c r="J57" s="483"/>
      <c r="K57" s="547"/>
      <c r="L57" s="483"/>
      <c r="M57" s="483"/>
      <c r="N57" s="483"/>
      <c r="O57" s="483"/>
      <c r="P57" s="547"/>
      <c r="Q57" s="483"/>
      <c r="R57" s="483"/>
      <c r="S57" s="483"/>
      <c r="T57" s="483"/>
      <c r="U57" s="547"/>
      <c r="V57" s="483"/>
      <c r="W57" s="483"/>
      <c r="X57" s="483"/>
      <c r="Y57" s="483"/>
      <c r="Z57" s="547"/>
      <c r="AA57" s="483"/>
      <c r="AB57" s="483"/>
      <c r="AC57" s="483"/>
      <c r="AD57" s="483"/>
      <c r="AE57" s="547"/>
      <c r="AF57" s="483"/>
      <c r="AG57" s="483"/>
      <c r="AH57" s="483"/>
      <c r="AI57" s="483"/>
      <c r="AJ57" s="547"/>
      <c r="AK57" s="483"/>
      <c r="AL57" s="483"/>
      <c r="AM57" s="483"/>
      <c r="AN57" s="483"/>
      <c r="AO57" s="547"/>
      <c r="AP57" s="483"/>
      <c r="AQ57" s="483"/>
      <c r="AR57" s="483"/>
      <c r="AS57" s="483"/>
      <c r="AT57" s="547"/>
      <c r="AU57" s="483"/>
      <c r="AV57" s="483"/>
      <c r="AW57" s="571"/>
      <c r="AX57" s="810"/>
      <c r="AY57" s="809"/>
      <c r="AZ57" s="810"/>
      <c r="BA57" s="810"/>
      <c r="BB57" s="810"/>
      <c r="BC57" s="810"/>
      <c r="BD57" s="809"/>
      <c r="BE57" s="809"/>
      <c r="BF57" s="809"/>
      <c r="BG57" s="809"/>
      <c r="BH57" s="811"/>
    </row>
    <row r="58" spans="1:60" customFormat="1" hidden="1" outlineLevel="2" x14ac:dyDescent="0.25">
      <c r="A58" s="656" t="s">
        <v>453</v>
      </c>
      <c r="B58" s="490"/>
      <c r="C58" s="94"/>
      <c r="D58" s="94"/>
      <c r="E58" s="94"/>
      <c r="F58" s="94"/>
      <c r="G58" s="79">
        <f>+G67*1000/(AVERAGE(G39,F39))/3</f>
        <v>7.9755357410460057</v>
      </c>
      <c r="H58" s="79">
        <f>+H67*1000/(AVERAGE(H39,G39))/3</f>
        <v>7.9132721344724102</v>
      </c>
      <c r="I58" s="79">
        <f>+I67*1000/(AVERAGE(I39,H39))/3</f>
        <v>7.9828633566186724</v>
      </c>
      <c r="J58" s="79">
        <f>+J67*1000/(AVERAGE(J39,I39))/3</f>
        <v>8.0098425729134561</v>
      </c>
      <c r="K58" s="17">
        <f>AVERAGE(G58,H58,I58,J58)</f>
        <v>7.9703784512626363</v>
      </c>
      <c r="L58" s="79">
        <f>+L67*1000/(AVERAGE(L39,K39))/3</f>
        <v>8.0559750235793146</v>
      </c>
      <c r="M58" s="79">
        <f>+M67*1000/(AVERAGE(M39,L39))/3</f>
        <v>8.0449262426458592</v>
      </c>
      <c r="N58" s="79">
        <f>+N67*1000/(AVERAGE(N39,M39))/3</f>
        <v>8.1957486568558746</v>
      </c>
      <c r="O58" s="79">
        <f>+O67*1000/(AVERAGE(O39,N39))/3</f>
        <v>8.2693779322093501</v>
      </c>
      <c r="P58" s="17">
        <f>AVERAGE(L58,M58,N58,O58)</f>
        <v>8.1415069638226001</v>
      </c>
      <c r="Q58" s="79">
        <f>+Q67*1000/(AVERAGE(Q39,P39))/3</f>
        <v>8.413401185272539</v>
      </c>
      <c r="R58" s="79">
        <f>+R67*1000/(AVERAGE(R39,Q39))/3</f>
        <v>8.4051270707368619</v>
      </c>
      <c r="S58" s="79">
        <f>+S67*1000/(AVERAGE(S39,R39))/3</f>
        <v>8.5330205513784456</v>
      </c>
      <c r="T58" s="79">
        <f>+T67*1000/(AVERAGE(T39,S39))/3</f>
        <v>8.6263869551143291</v>
      </c>
      <c r="U58" s="17">
        <f>AVERAGE(Q58,R58,S58,T58)</f>
        <v>8.4944839406255443</v>
      </c>
      <c r="V58" s="79">
        <f>+V67*1000/(AVERAGE(V39,U39))/3</f>
        <v>8.6872094110606142</v>
      </c>
      <c r="W58" s="79">
        <f>+W67*1000/(AVERAGE(W39,V39))/3</f>
        <v>8.7825072504851835</v>
      </c>
      <c r="X58" s="79">
        <f>+X67*1000/(AVERAGE(X39,W39))/3</f>
        <v>9.4023261932823683</v>
      </c>
      <c r="Y58" s="79">
        <f>+Y67*1000/(AVERAGE(Y39,X39))/3</f>
        <v>9.913134994631859</v>
      </c>
      <c r="Z58" s="17">
        <f>AVERAGE(V58,W58,X58,Y58)</f>
        <v>9.1962944623650067</v>
      </c>
      <c r="AA58" s="79">
        <f>+AA67*1000/(AVERAGE(AA39,Z39))/3</f>
        <v>10.074300986842106</v>
      </c>
      <c r="AB58" s="79">
        <f>+AB67*1000/(AVERAGE(AB39,AA39))/3</f>
        <v>10.067062528837088</v>
      </c>
      <c r="AC58" s="79">
        <f>+AC67*1000/(AVERAGE(AC39,AB39))/3</f>
        <v>10.145506288442119</v>
      </c>
      <c r="AD58" s="79">
        <f>+AD67*1000/(AVERAGE(AD39,AC39))/3</f>
        <v>10.434922311298868</v>
      </c>
      <c r="AE58" s="17">
        <f>AVERAGE(AA58,AB58,AC58,AD58)</f>
        <v>10.180448028855047</v>
      </c>
      <c r="AF58" s="79">
        <f>+AF67*1000/(AVERAGE(AF39,AE39))/3</f>
        <v>11.245409974327368</v>
      </c>
      <c r="AG58" s="79">
        <f>+AG67*1000/(AVERAGE(AG39,AF39))/3</f>
        <v>11.365992471588351</v>
      </c>
      <c r="AH58" s="79">
        <f>+AH67*1000/(AVERAGE(AH39,AG39))/3</f>
        <v>11.438083767284235</v>
      </c>
      <c r="AI58" s="79">
        <f>+AI67*1000/(AVERAGE(AI39,AH39))/3</f>
        <v>11.527143265507652</v>
      </c>
      <c r="AJ58" s="17">
        <f>AVERAGE(AF58,AG58,AH58,AI58)</f>
        <v>11.394157369676902</v>
      </c>
      <c r="AK58" s="79">
        <f>+AK67*1000/(AVERAGE(AK39,AJ39))/3</f>
        <v>11.644442572547696</v>
      </c>
      <c r="AL58" s="79">
        <f>+AL67*1000/(AVERAGE(AL39,AK39))/3</f>
        <v>12.738030338286295</v>
      </c>
      <c r="AM58" s="79">
        <f>+AM67*1000/(AVERAGE(AM39,AL39))/3</f>
        <v>13.323050840905765</v>
      </c>
      <c r="AN58" s="79">
        <f>+AN67*1000/(AVERAGE(AN39,AM39))/3</f>
        <v>13.467052431717113</v>
      </c>
      <c r="AO58" s="17">
        <f>AVERAGE(AK58,AL58,AM58,AN58)</f>
        <v>12.793144045864217</v>
      </c>
      <c r="AP58" s="473"/>
      <c r="AQ58" s="473"/>
      <c r="AR58" s="473"/>
      <c r="AS58" s="473"/>
      <c r="AT58" s="94"/>
      <c r="AU58" s="473"/>
      <c r="AV58" s="473"/>
      <c r="AW58" s="576"/>
      <c r="AX58" s="473"/>
      <c r="AY58" s="94"/>
      <c r="AZ58" s="473"/>
      <c r="BA58" s="473"/>
      <c r="BB58" s="473"/>
      <c r="BC58" s="473"/>
      <c r="BD58" s="94"/>
      <c r="BE58" s="94"/>
      <c r="BF58" s="94"/>
      <c r="BG58" s="94"/>
      <c r="BH58" s="79"/>
    </row>
    <row r="59" spans="1:60" s="649" customFormat="1" hidden="1" outlineLevel="2" x14ac:dyDescent="0.25">
      <c r="A59" s="812" t="s">
        <v>612</v>
      </c>
      <c r="B59" s="643"/>
      <c r="C59" s="165"/>
      <c r="D59" s="165"/>
      <c r="E59" s="165"/>
      <c r="F59" s="165"/>
      <c r="G59" s="474"/>
      <c r="H59" s="474"/>
      <c r="I59" s="474"/>
      <c r="J59" s="474"/>
      <c r="K59" s="165"/>
      <c r="L59" s="474">
        <f t="shared" ref="L59:AO59" si="50">+L58/G58-1</f>
        <v>1.0085752875425014E-2</v>
      </c>
      <c r="M59" s="474">
        <f t="shared" si="50"/>
        <v>1.6637126328554741E-2</v>
      </c>
      <c r="N59" s="474">
        <f t="shared" si="50"/>
        <v>2.6667787074257765E-2</v>
      </c>
      <c r="O59" s="474">
        <f t="shared" si="50"/>
        <v>3.2402054963421412E-2</v>
      </c>
      <c r="P59" s="165">
        <f t="shared" si="50"/>
        <v>2.1470562985983932E-2</v>
      </c>
      <c r="Q59" s="474">
        <f t="shared" si="50"/>
        <v>4.4367833893111719E-2</v>
      </c>
      <c r="R59" s="474">
        <f t="shared" si="50"/>
        <v>4.4773664447237627E-2</v>
      </c>
      <c r="S59" s="474">
        <f t="shared" si="50"/>
        <v>4.115205439352243E-2</v>
      </c>
      <c r="T59" s="474">
        <f t="shared" si="50"/>
        <v>4.3172415849374035E-2</v>
      </c>
      <c r="U59" s="165">
        <f t="shared" si="50"/>
        <v>4.3355238578241639E-2</v>
      </c>
      <c r="V59" s="474">
        <f t="shared" si="50"/>
        <v>3.2544296861460653E-2</v>
      </c>
      <c r="W59" s="474">
        <f t="shared" si="50"/>
        <v>4.4898807189031276E-2</v>
      </c>
      <c r="X59" s="474">
        <f t="shared" si="50"/>
        <v>0.10187548906858002</v>
      </c>
      <c r="Y59" s="474">
        <f t="shared" si="50"/>
        <v>0.14916419193955299</v>
      </c>
      <c r="Z59" s="165">
        <f t="shared" si="50"/>
        <v>8.2619559545341836E-2</v>
      </c>
      <c r="AA59" s="474">
        <f t="shared" si="50"/>
        <v>0.15967055819046294</v>
      </c>
      <c r="AB59" s="474">
        <f t="shared" si="50"/>
        <v>0.14626293400223944</v>
      </c>
      <c r="AC59" s="474">
        <f t="shared" si="50"/>
        <v>7.9042151897551483E-2</v>
      </c>
      <c r="AD59" s="474">
        <f t="shared" si="50"/>
        <v>5.2635953908583444E-2</v>
      </c>
      <c r="AE59" s="165">
        <f t="shared" si="50"/>
        <v>0.10701631733494388</v>
      </c>
      <c r="AF59" s="474">
        <f t="shared" si="50"/>
        <v>0.11624717079773861</v>
      </c>
      <c r="AG59" s="474">
        <f t="shared" si="50"/>
        <v>0.12902770187733315</v>
      </c>
      <c r="AH59" s="474">
        <f t="shared" si="50"/>
        <v>0.12740394043367109</v>
      </c>
      <c r="AI59" s="474">
        <f t="shared" si="50"/>
        <v>0.10466977344202499</v>
      </c>
      <c r="AJ59" s="165">
        <f t="shared" si="50"/>
        <v>0.11921963919286926</v>
      </c>
      <c r="AK59" s="474">
        <f t="shared" si="50"/>
        <v>3.5484041856303827E-2</v>
      </c>
      <c r="AL59" s="474">
        <f t="shared" si="50"/>
        <v>0.12071430366750957</v>
      </c>
      <c r="AM59" s="474">
        <f t="shared" si="50"/>
        <v>0.16479745313747429</v>
      </c>
      <c r="AN59" s="474">
        <f t="shared" si="50"/>
        <v>0.16829054012143629</v>
      </c>
      <c r="AO59" s="165">
        <f t="shared" si="50"/>
        <v>0.12278105618502488</v>
      </c>
      <c r="AP59" s="474"/>
      <c r="AQ59" s="474"/>
      <c r="AR59" s="474"/>
      <c r="AS59" s="474"/>
      <c r="AT59" s="165"/>
      <c r="AU59" s="474"/>
      <c r="AV59" s="474"/>
      <c r="AW59" s="598"/>
      <c r="AX59" s="474"/>
      <c r="AY59" s="165"/>
      <c r="AZ59" s="474"/>
      <c r="BA59" s="474"/>
      <c r="BB59" s="474"/>
      <c r="BC59" s="474"/>
      <c r="BD59" s="165"/>
      <c r="BE59" s="165"/>
      <c r="BF59" s="165"/>
      <c r="BG59" s="165"/>
      <c r="BH59" s="648"/>
    </row>
    <row r="60" spans="1:60" customFormat="1" hidden="1" outlineLevel="2" x14ac:dyDescent="0.25">
      <c r="A60" s="656" t="s">
        <v>454</v>
      </c>
      <c r="B60" s="490"/>
      <c r="C60" s="94"/>
      <c r="D60" s="94"/>
      <c r="E60" s="94"/>
      <c r="F60" s="94"/>
      <c r="G60" s="473"/>
      <c r="H60" s="473"/>
      <c r="I60" s="473"/>
      <c r="J60" s="473"/>
      <c r="K60" s="94"/>
      <c r="L60" s="473"/>
      <c r="M60" s="473"/>
      <c r="N60" s="473"/>
      <c r="O60" s="473"/>
      <c r="P60" s="94"/>
      <c r="Q60" s="473"/>
      <c r="R60" s="473"/>
      <c r="S60" s="473"/>
      <c r="T60" s="473"/>
      <c r="U60" s="94"/>
      <c r="V60" s="473"/>
      <c r="W60" s="473"/>
      <c r="X60" s="473"/>
      <c r="Y60" s="473"/>
      <c r="Z60" s="94"/>
      <c r="AA60" s="79">
        <f>+AA69*1000/AVERAGE(AA43,Z43)/3</f>
        <v>7.4439102564102564</v>
      </c>
      <c r="AB60" s="79">
        <f>+AB69*1000/AVERAGE(AB43,AA43)/3</f>
        <v>7.5533955911314345</v>
      </c>
      <c r="AC60" s="79">
        <f>+AC69*1000/AVERAGE(AC43,AB43)/3</f>
        <v>7.8982102908277376</v>
      </c>
      <c r="AD60" s="79">
        <f>+AD69*1000/AVERAGE(AD43,AC43)/3</f>
        <v>8.7943146840485085</v>
      </c>
      <c r="AE60" s="17">
        <f>AVERAGE(AA60,AB60,AC60,AD60)</f>
        <v>7.9224577056044847</v>
      </c>
      <c r="AF60" s="79">
        <f>+AF69*1000/AVERAGE(AF43,AE43)/3</f>
        <v>9.1037257302781125</v>
      </c>
      <c r="AG60" s="79">
        <f>+AG69*1000/AVERAGE(AG43,AF43)/3</f>
        <v>8.8822977925509168</v>
      </c>
      <c r="AH60" s="79">
        <f>+AH69*1000/AVERAGE(AH43,AG43)/3</f>
        <v>8.7783350050150357</v>
      </c>
      <c r="AI60" s="79">
        <f>+AI69*1000/AVERAGE(AI43,AH43)/3</f>
        <v>8.9195607486746695</v>
      </c>
      <c r="AJ60" s="17">
        <f>AVERAGE(AF60,AG60,AH60,AI60)</f>
        <v>8.9209798191296841</v>
      </c>
      <c r="AK60" s="79">
        <f>+AK69*1000/AVERAGE(AK43,AJ43)/3</f>
        <v>9.6408152531229607</v>
      </c>
      <c r="AL60" s="79">
        <f>+AL69*1000/AVERAGE(AL43,AK43)/3</f>
        <v>10.519710461907005</v>
      </c>
      <c r="AM60" s="79">
        <f>+AM69*1000/AVERAGE(AM43,AL43)/3</f>
        <v>10.78974040748785</v>
      </c>
      <c r="AN60" s="79">
        <f>+AN69*1000/AVERAGE(AN43,AM43)/3</f>
        <v>10.892244337680227</v>
      </c>
      <c r="AO60" s="17">
        <f>AVERAGE(AK60,AL60,AM60,AN60)</f>
        <v>10.460627615049511</v>
      </c>
      <c r="AP60" s="473"/>
      <c r="AQ60" s="473"/>
      <c r="AR60" s="473"/>
      <c r="AS60" s="473"/>
      <c r="AT60" s="94"/>
      <c r="AU60" s="473"/>
      <c r="AV60" s="473"/>
      <c r="AW60" s="576"/>
      <c r="AX60" s="473"/>
      <c r="AY60" s="94"/>
      <c r="AZ60" s="473"/>
      <c r="BA60" s="473"/>
      <c r="BB60" s="473"/>
      <c r="BC60" s="473"/>
      <c r="BD60" s="94"/>
      <c r="BE60" s="94"/>
      <c r="BF60" s="94"/>
      <c r="BG60" s="94"/>
      <c r="BH60" s="79"/>
    </row>
    <row r="61" spans="1:60" s="649" customFormat="1" hidden="1" outlineLevel="2" x14ac:dyDescent="0.25">
      <c r="A61" s="813" t="s">
        <v>613</v>
      </c>
      <c r="B61" s="745"/>
      <c r="C61" s="746"/>
      <c r="D61" s="746"/>
      <c r="E61" s="746"/>
      <c r="F61" s="746"/>
      <c r="G61" s="747"/>
      <c r="H61" s="747"/>
      <c r="I61" s="747"/>
      <c r="J61" s="747"/>
      <c r="K61" s="746"/>
      <c r="L61" s="747"/>
      <c r="M61" s="747"/>
      <c r="N61" s="747"/>
      <c r="O61" s="747"/>
      <c r="P61" s="746"/>
      <c r="Q61" s="747"/>
      <c r="R61" s="747"/>
      <c r="S61" s="747"/>
      <c r="T61" s="747"/>
      <c r="U61" s="746"/>
      <c r="V61" s="747"/>
      <c r="W61" s="747"/>
      <c r="X61" s="747"/>
      <c r="Y61" s="747"/>
      <c r="Z61" s="746"/>
      <c r="AA61" s="747"/>
      <c r="AB61" s="747"/>
      <c r="AC61" s="747"/>
      <c r="AD61" s="747"/>
      <c r="AE61" s="746"/>
      <c r="AF61" s="747">
        <f t="shared" ref="AF61:AO61" si="51">+AF60/AA60-1</f>
        <v>0.22297628755512222</v>
      </c>
      <c r="AG61" s="747">
        <f t="shared" si="51"/>
        <v>0.17593441060862314</v>
      </c>
      <c r="AH61" s="747">
        <f t="shared" si="51"/>
        <v>0.11143343640892867</v>
      </c>
      <c r="AI61" s="747">
        <f t="shared" si="51"/>
        <v>1.4241708322461744E-2</v>
      </c>
      <c r="AJ61" s="746">
        <f t="shared" si="51"/>
        <v>0.12603691311836562</v>
      </c>
      <c r="AK61" s="747">
        <f t="shared" si="51"/>
        <v>5.8996672215040569E-2</v>
      </c>
      <c r="AL61" s="747">
        <f t="shared" si="51"/>
        <v>0.18434561727138821</v>
      </c>
      <c r="AM61" s="747">
        <f t="shared" si="51"/>
        <v>0.22913290519485807</v>
      </c>
      <c r="AN61" s="747">
        <f t="shared" si="51"/>
        <v>0.22116375958296741</v>
      </c>
      <c r="AO61" s="746">
        <f t="shared" si="51"/>
        <v>0.17258729726282818</v>
      </c>
      <c r="AP61" s="747"/>
      <c r="AQ61" s="747"/>
      <c r="AR61" s="747"/>
      <c r="AS61" s="747"/>
      <c r="AT61" s="746"/>
      <c r="AU61" s="747"/>
      <c r="AV61" s="747"/>
      <c r="AW61" s="750"/>
      <c r="AX61" s="747"/>
      <c r="AY61" s="746"/>
      <c r="AZ61" s="747"/>
      <c r="BA61" s="747"/>
      <c r="BB61" s="747"/>
      <c r="BC61" s="747"/>
      <c r="BD61" s="746"/>
      <c r="BE61" s="746"/>
      <c r="BF61" s="746"/>
      <c r="BG61" s="746"/>
      <c r="BH61" s="648"/>
    </row>
    <row r="62" spans="1:60" s="58" customFormat="1" hidden="1" outlineLevel="1" x14ac:dyDescent="0.25">
      <c r="A62" s="663" t="s">
        <v>455</v>
      </c>
      <c r="B62" s="491"/>
      <c r="C62" s="99"/>
      <c r="D62" s="99"/>
      <c r="E62" s="99"/>
      <c r="F62" s="99"/>
      <c r="G62" s="188"/>
      <c r="H62" s="188"/>
      <c r="I62" s="188"/>
      <c r="J62" s="188"/>
      <c r="K62" s="99"/>
      <c r="L62" s="188"/>
      <c r="M62" s="188"/>
      <c r="N62" s="188"/>
      <c r="O62" s="188"/>
      <c r="P62" s="99"/>
      <c r="Q62" s="188"/>
      <c r="R62" s="188"/>
      <c r="S62" s="188"/>
      <c r="T62" s="188"/>
      <c r="U62" s="99"/>
      <c r="V62" s="188"/>
      <c r="W62" s="188"/>
      <c r="X62" s="188"/>
      <c r="Y62" s="188"/>
      <c r="Z62" s="99"/>
      <c r="AA62" s="83">
        <v>9.84</v>
      </c>
      <c r="AB62" s="83">
        <v>9.83</v>
      </c>
      <c r="AC62" s="83">
        <v>9.93</v>
      </c>
      <c r="AD62" s="83">
        <v>10.28</v>
      </c>
      <c r="AE62" s="18">
        <v>9.9700000000000006</v>
      </c>
      <c r="AF62" s="83">
        <v>11.04</v>
      </c>
      <c r="AG62" s="83">
        <v>11.13</v>
      </c>
      <c r="AH62" s="83">
        <v>11.18</v>
      </c>
      <c r="AI62" s="83">
        <v>11.28</v>
      </c>
      <c r="AJ62" s="18">
        <v>11.16</v>
      </c>
      <c r="AK62" s="83">
        <v>11.45</v>
      </c>
      <c r="AL62" s="83">
        <v>12.52</v>
      </c>
      <c r="AM62" s="83">
        <v>13.08</v>
      </c>
      <c r="AN62" s="83">
        <v>13.22</v>
      </c>
      <c r="AO62" s="18">
        <v>12.57</v>
      </c>
      <c r="AP62" s="83">
        <v>13.09</v>
      </c>
      <c r="AQ62" s="83">
        <v>13.25</v>
      </c>
      <c r="AR62" s="83">
        <v>13.4</v>
      </c>
      <c r="AS62" s="83">
        <v>13.51</v>
      </c>
      <c r="AT62" s="18">
        <v>13.32</v>
      </c>
      <c r="AU62" s="83">
        <v>14.25</v>
      </c>
      <c r="AV62" s="83">
        <v>14.54</v>
      </c>
      <c r="AW62" s="641">
        <v>14.68</v>
      </c>
      <c r="AX62" s="83">
        <f>AW62*(1+AX63)</f>
        <v>14.8268</v>
      </c>
      <c r="AY62" s="18">
        <f>AVERAGE(AU62,AV62,AW62,AX62)</f>
        <v>14.574199999999999</v>
      </c>
      <c r="AZ62" s="83">
        <f>AX62*(1+AZ63)</f>
        <v>14.975068</v>
      </c>
      <c r="BA62" s="83">
        <f>AZ62*(1+BA63)</f>
        <v>15.124818680000001</v>
      </c>
      <c r="BB62" s="83">
        <f>BA62*(1+BB63)</f>
        <v>15.276066866800001</v>
      </c>
      <c r="BC62" s="83">
        <f>BB62*(1+BC63)</f>
        <v>15.428827535468001</v>
      </c>
      <c r="BD62" s="18">
        <f>AVERAGE(AZ62,BA62,BB62,BC62)</f>
        <v>15.201195270567002</v>
      </c>
      <c r="BE62" s="18">
        <f>+BD62*(1+BE65)</f>
        <v>15.657231128684012</v>
      </c>
      <c r="BF62" s="18">
        <f>+BE62*(1+BF65)</f>
        <v>16.126948062544532</v>
      </c>
      <c r="BG62" s="18">
        <f>+BF62*(1+BG65)</f>
        <v>16.61075650442087</v>
      </c>
      <c r="BH62" s="83"/>
    </row>
    <row r="63" spans="1:60" s="58" customFormat="1" hidden="1" outlineLevel="1" x14ac:dyDescent="0.25">
      <c r="A63" s="666" t="s">
        <v>615</v>
      </c>
      <c r="B63" s="667"/>
      <c r="C63" s="796"/>
      <c r="D63" s="796"/>
      <c r="E63" s="796"/>
      <c r="F63" s="796"/>
      <c r="G63" s="163"/>
      <c r="H63" s="163"/>
      <c r="I63" s="163"/>
      <c r="J63" s="163"/>
      <c r="K63" s="796"/>
      <c r="L63" s="163"/>
      <c r="M63" s="163"/>
      <c r="N63" s="163"/>
      <c r="O63" s="163"/>
      <c r="P63" s="796"/>
      <c r="Q63" s="163"/>
      <c r="R63" s="163"/>
      <c r="S63" s="163"/>
      <c r="T63" s="163"/>
      <c r="U63" s="796"/>
      <c r="V63" s="163"/>
      <c r="W63" s="163"/>
      <c r="X63" s="163"/>
      <c r="Y63" s="163"/>
      <c r="Z63" s="796"/>
      <c r="AA63" s="163"/>
      <c r="AB63" s="648">
        <f>AB62/AA62-1</f>
        <v>-1.0162601626015899E-3</v>
      </c>
      <c r="AC63" s="648">
        <f>AC62/AB62-1</f>
        <v>1.0172939979654183E-2</v>
      </c>
      <c r="AD63" s="648">
        <f>AD62/AC62-1</f>
        <v>3.5246727089627283E-2</v>
      </c>
      <c r="AE63" s="796"/>
      <c r="AF63" s="648">
        <f>AF62/AD62-1</f>
        <v>7.3929961089494123E-2</v>
      </c>
      <c r="AG63" s="648">
        <f>AG62/AF62-1</f>
        <v>8.152173913043681E-3</v>
      </c>
      <c r="AH63" s="648">
        <f>AH62/AG62-1</f>
        <v>4.4923629829289879E-3</v>
      </c>
      <c r="AI63" s="648">
        <f>AI62/AH62-1</f>
        <v>8.9445438282647061E-3</v>
      </c>
      <c r="AJ63" s="796"/>
      <c r="AK63" s="648">
        <f>AK62/AI62-1</f>
        <v>1.5070921985815611E-2</v>
      </c>
      <c r="AL63" s="648">
        <f>AL62/AK62-1</f>
        <v>9.3449781659388664E-2</v>
      </c>
      <c r="AM63" s="648">
        <f>AM62/AL62-1</f>
        <v>4.4728434504792469E-2</v>
      </c>
      <c r="AN63" s="648">
        <f>AN62/AM62-1</f>
        <v>1.070336391437321E-2</v>
      </c>
      <c r="AO63" s="796"/>
      <c r="AP63" s="648">
        <f>AP62/AN62-1</f>
        <v>-9.8335854765507769E-3</v>
      </c>
      <c r="AQ63" s="648">
        <f>AQ62/AP62-1</f>
        <v>1.2223071046600475E-2</v>
      </c>
      <c r="AR63" s="648">
        <f>AR62/AQ62-1</f>
        <v>1.132075471698113E-2</v>
      </c>
      <c r="AS63" s="648">
        <f>AS62/AR62-1</f>
        <v>8.208955223880654E-3</v>
      </c>
      <c r="AT63" s="796"/>
      <c r="AU63" s="648">
        <f>AU62/AS62-1</f>
        <v>5.477424130273878E-2</v>
      </c>
      <c r="AV63" s="648">
        <f>AV62/AU62-1</f>
        <v>2.0350877192982342E-2</v>
      </c>
      <c r="AW63" s="652">
        <f>AW62/AV62-1</f>
        <v>9.6286107290233236E-3</v>
      </c>
      <c r="AX63" s="653">
        <v>0.01</v>
      </c>
      <c r="AY63" s="796"/>
      <c r="AZ63" s="653">
        <v>0.01</v>
      </c>
      <c r="BA63" s="653">
        <v>0.01</v>
      </c>
      <c r="BB63" s="653">
        <v>0.01</v>
      </c>
      <c r="BC63" s="653">
        <v>0.01</v>
      </c>
      <c r="BD63" s="796"/>
      <c r="BE63" s="796"/>
      <c r="BF63" s="796"/>
      <c r="BG63" s="796"/>
      <c r="BH63" s="83"/>
    </row>
    <row r="64" spans="1:60" s="649" customFormat="1" hidden="1" outlineLevel="1" x14ac:dyDescent="0.25">
      <c r="A64" s="151" t="s">
        <v>661</v>
      </c>
      <c r="B64" s="654"/>
      <c r="C64" s="796"/>
      <c r="D64" s="796"/>
      <c r="E64" s="796"/>
      <c r="F64" s="796"/>
      <c r="G64" s="163"/>
      <c r="H64" s="163"/>
      <c r="I64" s="163"/>
      <c r="J64" s="163"/>
      <c r="K64" s="796"/>
      <c r="L64" s="163"/>
      <c r="M64" s="163"/>
      <c r="N64" s="163"/>
      <c r="O64" s="163"/>
      <c r="P64" s="796"/>
      <c r="Q64" s="163"/>
      <c r="R64" s="163"/>
      <c r="S64" s="163"/>
      <c r="T64" s="163"/>
      <c r="U64" s="796"/>
      <c r="V64" s="163"/>
      <c r="W64" s="163"/>
      <c r="X64" s="163"/>
      <c r="Y64" s="163"/>
      <c r="Z64" s="796"/>
      <c r="AA64" s="648">
        <v>0.16</v>
      </c>
      <c r="AB64" s="648">
        <v>0.15</v>
      </c>
      <c r="AC64" s="648">
        <v>0.08</v>
      </c>
      <c r="AD64" s="648">
        <v>0.06</v>
      </c>
      <c r="AE64" s="817">
        <v>0.11</v>
      </c>
      <c r="AF64" s="648">
        <v>0.12</v>
      </c>
      <c r="AG64" s="648">
        <v>0.13</v>
      </c>
      <c r="AH64" s="648">
        <v>0.13</v>
      </c>
      <c r="AI64" s="648">
        <v>0.1</v>
      </c>
      <c r="AJ64" s="817">
        <v>0.12</v>
      </c>
      <c r="AK64" s="648">
        <v>0.04</v>
      </c>
      <c r="AL64" s="648">
        <v>0.13</v>
      </c>
      <c r="AM64" s="648">
        <v>0.17</v>
      </c>
      <c r="AN64" s="648">
        <v>0.17</v>
      </c>
      <c r="AO64" s="817">
        <v>0.13</v>
      </c>
      <c r="AP64" s="648">
        <v>0.14000000000000001</v>
      </c>
      <c r="AQ64" s="648">
        <v>0.06</v>
      </c>
      <c r="AR64" s="648">
        <v>0.03</v>
      </c>
      <c r="AS64" s="648">
        <v>0.02</v>
      </c>
      <c r="AT64" s="817">
        <v>0.06</v>
      </c>
      <c r="AU64" s="648">
        <v>0.09</v>
      </c>
      <c r="AV64" s="648">
        <v>0.09</v>
      </c>
      <c r="AW64" s="652">
        <v>0.09</v>
      </c>
      <c r="AX64" s="163"/>
      <c r="AY64" s="796"/>
      <c r="AZ64" s="163"/>
      <c r="BA64" s="163"/>
      <c r="BB64" s="163"/>
      <c r="BC64" s="163"/>
      <c r="BD64" s="796"/>
      <c r="BE64" s="796"/>
      <c r="BF64" s="796"/>
      <c r="BG64" s="796"/>
      <c r="BH64" s="648"/>
    </row>
    <row r="65" spans="1:60" s="649" customFormat="1" hidden="1" outlineLevel="1" x14ac:dyDescent="0.25">
      <c r="A65" s="664" t="s">
        <v>614</v>
      </c>
      <c r="B65" s="643"/>
      <c r="C65" s="165"/>
      <c r="D65" s="165"/>
      <c r="E65" s="165"/>
      <c r="F65" s="165"/>
      <c r="G65" s="474"/>
      <c r="H65" s="474"/>
      <c r="I65" s="474"/>
      <c r="J65" s="474"/>
      <c r="K65" s="165"/>
      <c r="L65" s="474"/>
      <c r="M65" s="474"/>
      <c r="N65" s="474"/>
      <c r="O65" s="474"/>
      <c r="P65" s="165"/>
      <c r="Q65" s="474"/>
      <c r="R65" s="474"/>
      <c r="S65" s="474"/>
      <c r="T65" s="474"/>
      <c r="U65" s="165"/>
      <c r="V65" s="474"/>
      <c r="W65" s="474"/>
      <c r="X65" s="474"/>
      <c r="Y65" s="474"/>
      <c r="Z65" s="165"/>
      <c r="AA65" s="474"/>
      <c r="AB65" s="474"/>
      <c r="AC65" s="474"/>
      <c r="AD65" s="474"/>
      <c r="AE65" s="165"/>
      <c r="AF65" s="474">
        <f t="shared" ref="AF65:BD65" si="52">+AF62/AA62-1</f>
        <v>0.12195121951219501</v>
      </c>
      <c r="AG65" s="474">
        <f t="shared" si="52"/>
        <v>0.13224821973550371</v>
      </c>
      <c r="AH65" s="474">
        <f t="shared" si="52"/>
        <v>0.12588116817724071</v>
      </c>
      <c r="AI65" s="474">
        <f t="shared" si="52"/>
        <v>9.7276264591439787E-2</v>
      </c>
      <c r="AJ65" s="165">
        <f t="shared" si="52"/>
        <v>0.11935807422266786</v>
      </c>
      <c r="AK65" s="474">
        <f t="shared" si="52"/>
        <v>3.7137681159420399E-2</v>
      </c>
      <c r="AL65" s="474">
        <f t="shared" si="52"/>
        <v>0.12488769092542662</v>
      </c>
      <c r="AM65" s="474">
        <f t="shared" si="52"/>
        <v>0.16994633273703053</v>
      </c>
      <c r="AN65" s="474">
        <f t="shared" si="52"/>
        <v>0.1719858156028371</v>
      </c>
      <c r="AO65" s="165">
        <f t="shared" si="52"/>
        <v>0.12634408602150549</v>
      </c>
      <c r="AP65" s="474">
        <f t="shared" si="52"/>
        <v>0.14323144104803509</v>
      </c>
      <c r="AQ65" s="474">
        <f t="shared" si="52"/>
        <v>5.8306709265175671E-2</v>
      </c>
      <c r="AR65" s="474">
        <f t="shared" si="52"/>
        <v>2.4464831804281273E-2</v>
      </c>
      <c r="AS65" s="474">
        <f t="shared" si="52"/>
        <v>2.1936459909228434E-2</v>
      </c>
      <c r="AT65" s="165">
        <f t="shared" si="52"/>
        <v>5.9665871121718395E-2</v>
      </c>
      <c r="AU65" s="474">
        <f t="shared" si="52"/>
        <v>8.8617265087853392E-2</v>
      </c>
      <c r="AV65" s="474">
        <f t="shared" si="52"/>
        <v>9.7358490566037625E-2</v>
      </c>
      <c r="AW65" s="598">
        <f t="shared" si="52"/>
        <v>9.5522388059701369E-2</v>
      </c>
      <c r="AX65" s="436">
        <f t="shared" si="52"/>
        <v>9.7468541820873389E-2</v>
      </c>
      <c r="AY65" s="435">
        <f t="shared" si="52"/>
        <v>9.4159159159159067E-2</v>
      </c>
      <c r="AZ65" s="436">
        <f t="shared" si="52"/>
        <v>5.0881964912280697E-2</v>
      </c>
      <c r="BA65" s="436">
        <f t="shared" si="52"/>
        <v>4.0221367262723628E-2</v>
      </c>
      <c r="BB65" s="436">
        <f t="shared" si="52"/>
        <v>4.0604010000000024E-2</v>
      </c>
      <c r="BC65" s="436">
        <f t="shared" si="52"/>
        <v>4.0604010000000024E-2</v>
      </c>
      <c r="BD65" s="165">
        <f t="shared" si="52"/>
        <v>4.3020904788393377E-2</v>
      </c>
      <c r="BE65" s="438">
        <v>0.03</v>
      </c>
      <c r="BF65" s="438">
        <v>0.03</v>
      </c>
      <c r="BG65" s="438">
        <v>0.03</v>
      </c>
      <c r="BH65" s="648"/>
    </row>
    <row r="66" spans="1:60" s="753" customFormat="1" ht="7.5" hidden="1" customHeight="1" outlineLevel="1" x14ac:dyDescent="0.25">
      <c r="A66" s="807"/>
      <c r="B66" s="808"/>
      <c r="C66" s="547"/>
      <c r="D66" s="547"/>
      <c r="E66" s="547"/>
      <c r="F66" s="547"/>
      <c r="G66" s="483"/>
      <c r="H66" s="483"/>
      <c r="I66" s="483"/>
      <c r="J66" s="483"/>
      <c r="K66" s="547"/>
      <c r="L66" s="483"/>
      <c r="M66" s="483"/>
      <c r="N66" s="483"/>
      <c r="O66" s="483"/>
      <c r="P66" s="547"/>
      <c r="Q66" s="483"/>
      <c r="R66" s="483"/>
      <c r="S66" s="483"/>
      <c r="T66" s="483"/>
      <c r="U66" s="547"/>
      <c r="V66" s="483"/>
      <c r="W66" s="483"/>
      <c r="X66" s="483"/>
      <c r="Y66" s="483"/>
      <c r="Z66" s="547"/>
      <c r="AA66" s="483"/>
      <c r="AB66" s="483"/>
      <c r="AC66" s="483"/>
      <c r="AD66" s="483"/>
      <c r="AE66" s="547"/>
      <c r="AF66" s="483"/>
      <c r="AG66" s="483"/>
      <c r="AH66" s="483"/>
      <c r="AI66" s="483"/>
      <c r="AJ66" s="547"/>
      <c r="AK66" s="483"/>
      <c r="AL66" s="483"/>
      <c r="AM66" s="483"/>
      <c r="AN66" s="483"/>
      <c r="AO66" s="547"/>
      <c r="AP66" s="483"/>
      <c r="AQ66" s="483"/>
      <c r="AR66" s="483"/>
      <c r="AS66" s="483"/>
      <c r="AT66" s="547"/>
      <c r="AU66" s="483"/>
      <c r="AV66" s="483"/>
      <c r="AW66" s="571"/>
      <c r="AX66" s="810"/>
      <c r="AY66" s="809"/>
      <c r="AZ66" s="810"/>
      <c r="BA66" s="810"/>
      <c r="BB66" s="810"/>
      <c r="BC66" s="810"/>
      <c r="BD66" s="809"/>
      <c r="BE66" s="809"/>
      <c r="BF66" s="809"/>
      <c r="BG66" s="809"/>
      <c r="BH66" s="811"/>
    </row>
    <row r="67" spans="1:60" customFormat="1" hidden="1" outlineLevel="2" x14ac:dyDescent="0.25">
      <c r="A67" s="367" t="s">
        <v>600</v>
      </c>
      <c r="B67" s="442"/>
      <c r="C67" s="864"/>
      <c r="D67" s="864"/>
      <c r="E67" s="864"/>
      <c r="F67" s="865">
        <v>2184.8679999999999</v>
      </c>
      <c r="G67" s="866">
        <v>638.649</v>
      </c>
      <c r="H67" s="866">
        <v>671.08900000000006</v>
      </c>
      <c r="I67" s="866">
        <v>701.08299999999997</v>
      </c>
      <c r="J67" s="866">
        <v>740.55399999999997</v>
      </c>
      <c r="K67" s="865">
        <v>2751.375</v>
      </c>
      <c r="L67" s="866">
        <v>798.61699999999996</v>
      </c>
      <c r="M67" s="866">
        <v>838.22500000000002</v>
      </c>
      <c r="N67" s="866">
        <v>877.15</v>
      </c>
      <c r="O67" s="866">
        <v>917.44200000000023</v>
      </c>
      <c r="P67" s="865">
        <v>3431.4340000000002</v>
      </c>
      <c r="Q67" s="866">
        <v>984.53200000000004</v>
      </c>
      <c r="R67" s="866">
        <v>1025.913</v>
      </c>
      <c r="S67" s="866">
        <v>1063.961</v>
      </c>
      <c r="T67" s="866">
        <v>1105.9329999999998</v>
      </c>
      <c r="U67" s="865">
        <v>4180.3389999999999</v>
      </c>
      <c r="V67" s="866">
        <v>1161.241</v>
      </c>
      <c r="W67" s="866">
        <v>1208.271</v>
      </c>
      <c r="X67" s="866">
        <v>1304.3330000000001</v>
      </c>
      <c r="Y67" s="866">
        <v>1403.462</v>
      </c>
      <c r="Z67" s="865">
        <v>5077.3069999999998</v>
      </c>
      <c r="AA67" s="866">
        <v>1470.0419999999999</v>
      </c>
      <c r="AB67" s="866">
        <v>1505.499</v>
      </c>
      <c r="AC67" s="866">
        <v>1547.21</v>
      </c>
      <c r="AD67" s="866">
        <v>1630.2740000000003</v>
      </c>
      <c r="AE67" s="865">
        <v>6153.0249999999996</v>
      </c>
      <c r="AF67" s="866">
        <v>1820.019</v>
      </c>
      <c r="AG67" s="866">
        <v>1893.222</v>
      </c>
      <c r="AH67" s="866">
        <v>1937.3140000000001</v>
      </c>
      <c r="AI67" s="866">
        <v>1996.0919999999999</v>
      </c>
      <c r="AJ67" s="865">
        <v>7646.6469999999999</v>
      </c>
      <c r="AK67" s="866">
        <v>2073.5549999999998</v>
      </c>
      <c r="AL67" s="866">
        <v>2299.1889999999999</v>
      </c>
      <c r="AM67" s="866">
        <v>2412.598</v>
      </c>
      <c r="AN67" s="866">
        <v>2457.6629999999986</v>
      </c>
      <c r="AO67" s="865">
        <v>9243.0049999999992</v>
      </c>
      <c r="AP67" s="867"/>
      <c r="AQ67" s="867"/>
      <c r="AR67" s="867"/>
      <c r="AS67" s="867"/>
      <c r="AT67" s="864"/>
      <c r="AU67" s="867"/>
      <c r="AV67" s="867"/>
      <c r="AW67" s="868"/>
      <c r="AX67" s="867"/>
      <c r="AY67" s="864"/>
      <c r="AZ67" s="867"/>
      <c r="BA67" s="867"/>
      <c r="BB67" s="867"/>
      <c r="BC67" s="867"/>
      <c r="BD67" s="864"/>
      <c r="BE67" s="864"/>
      <c r="BF67" s="864"/>
      <c r="BG67" s="864"/>
      <c r="BH67" s="821"/>
    </row>
    <row r="68" spans="1:60" s="649" customFormat="1" hidden="1" outlineLevel="2" x14ac:dyDescent="0.25">
      <c r="A68" s="814" t="s">
        <v>602</v>
      </c>
      <c r="B68" s="643"/>
      <c r="C68" s="165"/>
      <c r="D68" s="165"/>
      <c r="E68" s="165"/>
      <c r="F68" s="165"/>
      <c r="G68" s="474"/>
      <c r="H68" s="474"/>
      <c r="I68" s="474"/>
      <c r="J68" s="474"/>
      <c r="K68" s="165">
        <f t="shared" ref="K68:AO68" si="53">+K67/F67-1</f>
        <v>0.25928660221120903</v>
      </c>
      <c r="L68" s="474">
        <f t="shared" si="53"/>
        <v>0.2504787449757222</v>
      </c>
      <c r="M68" s="474">
        <f t="shared" si="53"/>
        <v>0.24905191412763417</v>
      </c>
      <c r="N68" s="474">
        <f t="shared" si="53"/>
        <v>0.2511357428435721</v>
      </c>
      <c r="O68" s="474">
        <f t="shared" si="53"/>
        <v>0.2388590163580242</v>
      </c>
      <c r="P68" s="165">
        <f t="shared" si="53"/>
        <v>0.24717059651992201</v>
      </c>
      <c r="Q68" s="474">
        <f t="shared" si="53"/>
        <v>0.23279619642456906</v>
      </c>
      <c r="R68" s="474">
        <f t="shared" si="53"/>
        <v>0.22391124101524063</v>
      </c>
      <c r="S68" s="474">
        <f t="shared" si="53"/>
        <v>0.21297497577381286</v>
      </c>
      <c r="T68" s="474">
        <f t="shared" si="53"/>
        <v>0.2054527697663715</v>
      </c>
      <c r="U68" s="165">
        <f t="shared" si="53"/>
        <v>0.21824840576855031</v>
      </c>
      <c r="V68" s="474">
        <f t="shared" si="53"/>
        <v>0.17948527828450467</v>
      </c>
      <c r="W68" s="474">
        <f t="shared" si="53"/>
        <v>0.17775191463603623</v>
      </c>
      <c r="X68" s="474">
        <f t="shared" si="53"/>
        <v>0.22592181480336215</v>
      </c>
      <c r="Y68" s="474">
        <f t="shared" si="53"/>
        <v>0.26902985985588668</v>
      </c>
      <c r="Z68" s="165">
        <f t="shared" si="53"/>
        <v>0.21456824434573374</v>
      </c>
      <c r="AA68" s="474">
        <f t="shared" si="53"/>
        <v>0.2659232665742941</v>
      </c>
      <c r="AB68" s="474">
        <f t="shared" si="53"/>
        <v>0.24599448302574523</v>
      </c>
      <c r="AC68" s="474">
        <f t="shared" si="53"/>
        <v>0.18620781656218144</v>
      </c>
      <c r="AD68" s="474">
        <f t="shared" si="53"/>
        <v>0.16160893561777967</v>
      </c>
      <c r="AE68" s="165">
        <f t="shared" si="53"/>
        <v>0.21186782678297766</v>
      </c>
      <c r="AF68" s="436">
        <f t="shared" si="53"/>
        <v>0.23807278975702739</v>
      </c>
      <c r="AG68" s="436">
        <f t="shared" si="53"/>
        <v>0.25753786618257468</v>
      </c>
      <c r="AH68" s="436">
        <f t="shared" si="53"/>
        <v>0.25213384091364466</v>
      </c>
      <c r="AI68" s="436">
        <f t="shared" si="53"/>
        <v>0.22439050122862758</v>
      </c>
      <c r="AJ68" s="435">
        <f t="shared" si="53"/>
        <v>0.24274596641489365</v>
      </c>
      <c r="AK68" s="436">
        <f t="shared" si="53"/>
        <v>0.13930404023254694</v>
      </c>
      <c r="AL68" s="436">
        <f t="shared" si="53"/>
        <v>0.21443179933467915</v>
      </c>
      <c r="AM68" s="436">
        <f t="shared" si="53"/>
        <v>0.24533142278432907</v>
      </c>
      <c r="AN68" s="436">
        <f t="shared" si="53"/>
        <v>0.23123733775797839</v>
      </c>
      <c r="AO68" s="435">
        <f t="shared" si="53"/>
        <v>0.20876575053091884</v>
      </c>
      <c r="AP68" s="474"/>
      <c r="AQ68" s="474"/>
      <c r="AR68" s="474"/>
      <c r="AS68" s="474"/>
      <c r="AT68" s="165"/>
      <c r="AU68" s="474"/>
      <c r="AV68" s="474"/>
      <c r="AW68" s="598"/>
      <c r="AX68" s="474"/>
      <c r="AY68" s="165"/>
      <c r="AZ68" s="474"/>
      <c r="BA68" s="474"/>
      <c r="BB68" s="474"/>
      <c r="BC68" s="474"/>
      <c r="BD68" s="165"/>
      <c r="BE68" s="165"/>
      <c r="BF68" s="165"/>
      <c r="BG68" s="165"/>
      <c r="BH68" s="648"/>
    </row>
    <row r="69" spans="1:60" customFormat="1" hidden="1" outlineLevel="2" x14ac:dyDescent="0.25">
      <c r="A69" s="367" t="s">
        <v>601</v>
      </c>
      <c r="B69" s="442"/>
      <c r="C69" s="864"/>
      <c r="D69" s="864"/>
      <c r="E69" s="864"/>
      <c r="F69" s="864"/>
      <c r="G69" s="867"/>
      <c r="H69" s="867"/>
      <c r="I69" s="867"/>
      <c r="J69" s="867"/>
      <c r="K69" s="864"/>
      <c r="L69" s="867"/>
      <c r="M69" s="867"/>
      <c r="N69" s="867"/>
      <c r="O69" s="867"/>
      <c r="P69" s="864"/>
      <c r="Q69" s="867"/>
      <c r="R69" s="867"/>
      <c r="S69" s="867"/>
      <c r="T69" s="867"/>
      <c r="U69" s="864"/>
      <c r="V69" s="867"/>
      <c r="W69" s="867"/>
      <c r="X69" s="867"/>
      <c r="Y69" s="867"/>
      <c r="Z69" s="864"/>
      <c r="AA69" s="866">
        <f t="shared" ref="AA69:AO69" si="54">+AA71-AA67</f>
        <v>116.125</v>
      </c>
      <c r="AB69" s="866">
        <f t="shared" si="54"/>
        <v>118.89799999999991</v>
      </c>
      <c r="AC69" s="866">
        <f t="shared" si="54"/>
        <v>127.09799999999996</v>
      </c>
      <c r="AD69" s="866">
        <f t="shared" si="54"/>
        <v>145.71299999999974</v>
      </c>
      <c r="AE69" s="865">
        <f t="shared" si="54"/>
        <v>507.83399999999983</v>
      </c>
      <c r="AF69" s="866">
        <f t="shared" si="54"/>
        <v>156.13799999999992</v>
      </c>
      <c r="AG69" s="866">
        <f t="shared" si="54"/>
        <v>156.32399999999984</v>
      </c>
      <c r="AH69" s="866">
        <f t="shared" si="54"/>
        <v>157.53599999999983</v>
      </c>
      <c r="AI69" s="866">
        <f t="shared" si="54"/>
        <v>164.88699999999994</v>
      </c>
      <c r="AJ69" s="865">
        <f t="shared" si="54"/>
        <v>634.88499999999931</v>
      </c>
      <c r="AK69" s="866">
        <f t="shared" si="54"/>
        <v>183.29600000000028</v>
      </c>
      <c r="AL69" s="866">
        <f t="shared" si="54"/>
        <v>202.01000000000022</v>
      </c>
      <c r="AM69" s="866">
        <f t="shared" si="54"/>
        <v>208.65200000000004</v>
      </c>
      <c r="AN69" s="866">
        <f t="shared" si="54"/>
        <v>214.24500000000126</v>
      </c>
      <c r="AO69" s="865">
        <f t="shared" si="54"/>
        <v>808.20300000000134</v>
      </c>
      <c r="AP69" s="867"/>
      <c r="AQ69" s="867"/>
      <c r="AR69" s="867"/>
      <c r="AS69" s="867"/>
      <c r="AT69" s="864"/>
      <c r="AU69" s="867"/>
      <c r="AV69" s="867"/>
      <c r="AW69" s="868"/>
      <c r="AX69" s="867"/>
      <c r="AY69" s="864"/>
      <c r="AZ69" s="867"/>
      <c r="BA69" s="867"/>
      <c r="BB69" s="867"/>
      <c r="BC69" s="867"/>
      <c r="BD69" s="864"/>
      <c r="BE69" s="864"/>
      <c r="BF69" s="864"/>
      <c r="BG69" s="864"/>
      <c r="BH69" s="821"/>
    </row>
    <row r="70" spans="1:60" s="649" customFormat="1" hidden="1" outlineLevel="2" x14ac:dyDescent="0.25">
      <c r="A70" s="814" t="s">
        <v>603</v>
      </c>
      <c r="B70" s="643"/>
      <c r="C70" s="165"/>
      <c r="D70" s="165"/>
      <c r="E70" s="165"/>
      <c r="F70" s="165"/>
      <c r="G70" s="474"/>
      <c r="H70" s="474"/>
      <c r="I70" s="474"/>
      <c r="J70" s="474"/>
      <c r="K70" s="165"/>
      <c r="L70" s="474"/>
      <c r="M70" s="474"/>
      <c r="N70" s="474"/>
      <c r="O70" s="474"/>
      <c r="P70" s="165"/>
      <c r="Q70" s="474"/>
      <c r="R70" s="474"/>
      <c r="S70" s="474"/>
      <c r="T70" s="474"/>
      <c r="U70" s="165"/>
      <c r="V70" s="474"/>
      <c r="W70" s="474"/>
      <c r="X70" s="474"/>
      <c r="Y70" s="474"/>
      <c r="Z70" s="165"/>
      <c r="AA70" s="474"/>
      <c r="AB70" s="474"/>
      <c r="AC70" s="474"/>
      <c r="AD70" s="474"/>
      <c r="AE70" s="165"/>
      <c r="AF70" s="436">
        <f t="shared" ref="AF70:AO70" si="55">+AF69/AA69-1</f>
        <v>0.34456835306781408</v>
      </c>
      <c r="AG70" s="436">
        <f t="shared" si="55"/>
        <v>0.31477400797322042</v>
      </c>
      <c r="AH70" s="436">
        <f t="shared" si="55"/>
        <v>0.23948449228154556</v>
      </c>
      <c r="AI70" s="436">
        <f t="shared" si="55"/>
        <v>0.13158743557541364</v>
      </c>
      <c r="AJ70" s="435">
        <f t="shared" si="55"/>
        <v>0.25018214613436585</v>
      </c>
      <c r="AK70" s="436">
        <f t="shared" si="55"/>
        <v>0.17393587723680581</v>
      </c>
      <c r="AL70" s="436">
        <f t="shared" si="55"/>
        <v>0.29225198945779551</v>
      </c>
      <c r="AM70" s="436">
        <f t="shared" si="55"/>
        <v>0.32447186674791961</v>
      </c>
      <c r="AN70" s="436">
        <f t="shared" si="55"/>
        <v>0.29934439949784597</v>
      </c>
      <c r="AO70" s="435">
        <f t="shared" si="55"/>
        <v>0.27299117162951125</v>
      </c>
      <c r="AP70" s="474"/>
      <c r="AQ70" s="474"/>
      <c r="AR70" s="474"/>
      <c r="AS70" s="474"/>
      <c r="AT70" s="165"/>
      <c r="AU70" s="474"/>
      <c r="AV70" s="474"/>
      <c r="AW70" s="598"/>
      <c r="AX70" s="474"/>
      <c r="AY70" s="165"/>
      <c r="AZ70" s="474"/>
      <c r="BA70" s="474"/>
      <c r="BB70" s="474"/>
      <c r="BC70" s="474"/>
      <c r="BD70" s="165"/>
      <c r="BE70" s="165"/>
      <c r="BF70" s="165"/>
      <c r="BG70" s="165"/>
      <c r="BH70" s="648"/>
    </row>
    <row r="71" spans="1:60" s="58" customFormat="1" hidden="1" outlineLevel="1" x14ac:dyDescent="0.25">
      <c r="A71" s="61" t="s">
        <v>450</v>
      </c>
      <c r="B71" s="492"/>
      <c r="C71" s="869"/>
      <c r="D71" s="869"/>
      <c r="E71" s="869"/>
      <c r="F71" s="869"/>
      <c r="G71" s="870"/>
      <c r="H71" s="870"/>
      <c r="I71" s="870"/>
      <c r="J71" s="870"/>
      <c r="K71" s="869"/>
      <c r="L71" s="870"/>
      <c r="M71" s="870"/>
      <c r="N71" s="870"/>
      <c r="O71" s="870"/>
      <c r="P71" s="869"/>
      <c r="Q71" s="870"/>
      <c r="R71" s="870"/>
      <c r="S71" s="870"/>
      <c r="T71" s="870"/>
      <c r="U71" s="869"/>
      <c r="V71" s="870"/>
      <c r="W71" s="870"/>
      <c r="X71" s="870"/>
      <c r="Y71" s="870"/>
      <c r="Z71" s="869"/>
      <c r="AA71" s="871">
        <v>1586.1669999999999</v>
      </c>
      <c r="AB71" s="871">
        <v>1624.3969999999999</v>
      </c>
      <c r="AC71" s="871">
        <v>1674.308</v>
      </c>
      <c r="AD71" s="871">
        <v>1775.9870000000001</v>
      </c>
      <c r="AE71" s="872">
        <v>6660.8589999999995</v>
      </c>
      <c r="AF71" s="871">
        <v>1976.1569999999999</v>
      </c>
      <c r="AG71" s="871">
        <v>2049.5459999999998</v>
      </c>
      <c r="AH71" s="871">
        <v>2094.85</v>
      </c>
      <c r="AI71" s="871">
        <v>2160.9789999999998</v>
      </c>
      <c r="AJ71" s="872">
        <v>8281.5319999999992</v>
      </c>
      <c r="AK71" s="871">
        <v>2256.8510000000001</v>
      </c>
      <c r="AL71" s="871">
        <v>2501.1990000000001</v>
      </c>
      <c r="AM71" s="871">
        <v>2621.25</v>
      </c>
      <c r="AN71" s="871">
        <v>2671.9079999999999</v>
      </c>
      <c r="AO71" s="872">
        <v>10051.208000000001</v>
      </c>
      <c r="AP71" s="871">
        <v>2702.7759999999998</v>
      </c>
      <c r="AQ71" s="871">
        <v>2839.67</v>
      </c>
      <c r="AR71" s="871">
        <v>2933.4450000000002</v>
      </c>
      <c r="AS71" s="871">
        <f>AT71-SUM(AP71,AQ71,AR71)</f>
        <v>2979.505000000001</v>
      </c>
      <c r="AT71" s="872">
        <v>11455.396000000001</v>
      </c>
      <c r="AU71" s="871">
        <v>3170.9720000000002</v>
      </c>
      <c r="AV71" s="871">
        <v>3234.643</v>
      </c>
      <c r="AW71" s="873">
        <v>3257.6970000000001</v>
      </c>
      <c r="AX71" s="871">
        <f>AX54*AX62*3/1000</f>
        <v>3309.0802152480001</v>
      </c>
      <c r="AY71" s="872">
        <f>SUM(AU71,AV71,AW71,AX71)</f>
        <v>12972.392215248001</v>
      </c>
      <c r="AZ71" s="871">
        <f>AZ54*AZ62*3/1000</f>
        <v>3375.5927275744843</v>
      </c>
      <c r="BA71" s="871">
        <f>BA54*BA62*3/1000</f>
        <v>3443.442141398732</v>
      </c>
      <c r="BB71" s="871">
        <f>BB54*BB62*3/1000</f>
        <v>3512.6553284408469</v>
      </c>
      <c r="BC71" s="871">
        <f>BC54*BC62*3/1000</f>
        <v>3583.2597005425077</v>
      </c>
      <c r="BD71" s="872">
        <f>SUM(AZ71,BA71,BB71,BC71)</f>
        <v>13914.949897956572</v>
      </c>
      <c r="BE71" s="872">
        <f>BE54*BE62*12/1000</f>
        <v>14836.848734101299</v>
      </c>
      <c r="BF71" s="872">
        <f>BF54*BF62*12/1000</f>
        <v>15740.412822008069</v>
      </c>
      <c r="BG71" s="872">
        <f>BG54*BG62*12/1000</f>
        <v>16699.003962868359</v>
      </c>
      <c r="BH71" s="824"/>
    </row>
    <row r="72" spans="1:60" s="58" customFormat="1" hidden="1" outlineLevel="1" x14ac:dyDescent="0.25">
      <c r="A72" s="838" t="s">
        <v>605</v>
      </c>
      <c r="B72" s="665"/>
      <c r="C72" s="796"/>
      <c r="D72" s="796"/>
      <c r="E72" s="796"/>
      <c r="F72" s="796"/>
      <c r="G72" s="163"/>
      <c r="H72" s="163"/>
      <c r="I72" s="163"/>
      <c r="J72" s="163"/>
      <c r="K72" s="796"/>
      <c r="L72" s="163"/>
      <c r="M72" s="163"/>
      <c r="N72" s="163"/>
      <c r="O72" s="163"/>
      <c r="P72" s="796"/>
      <c r="Q72" s="163"/>
      <c r="R72" s="163"/>
      <c r="S72" s="163"/>
      <c r="T72" s="163"/>
      <c r="U72" s="796"/>
      <c r="V72" s="163"/>
      <c r="W72" s="163"/>
      <c r="X72" s="163"/>
      <c r="Y72" s="163"/>
      <c r="Z72" s="796"/>
      <c r="AA72" s="163"/>
      <c r="AB72" s="648">
        <f>AB71/AA71-1</f>
        <v>2.4102127960044628E-2</v>
      </c>
      <c r="AC72" s="648">
        <f>AC71/AB71-1</f>
        <v>3.0725863197235581E-2</v>
      </c>
      <c r="AD72" s="648">
        <f>AD71/AC71-1</f>
        <v>6.0728969819173084E-2</v>
      </c>
      <c r="AE72" s="796"/>
      <c r="AF72" s="648">
        <f>AF71/AD71-1</f>
        <v>0.11270915834406425</v>
      </c>
      <c r="AG72" s="648">
        <f>AG71/AF71-1</f>
        <v>3.7137231505391499E-2</v>
      </c>
      <c r="AH72" s="648">
        <f>AH71/AG71-1</f>
        <v>2.2104407512688162E-2</v>
      </c>
      <c r="AI72" s="648">
        <f>AI71/AH71-1</f>
        <v>3.1567415328066506E-2</v>
      </c>
      <c r="AJ72" s="796"/>
      <c r="AK72" s="648">
        <f>AK71/AI71-1</f>
        <v>4.4365077124766339E-2</v>
      </c>
      <c r="AL72" s="648">
        <f>AL71/AK71-1</f>
        <v>0.10826944268806393</v>
      </c>
      <c r="AM72" s="648">
        <f>AM71/AL71-1</f>
        <v>4.7997380456333172E-2</v>
      </c>
      <c r="AN72" s="648">
        <f>AN71/AM71-1</f>
        <v>1.9325894134477828E-2</v>
      </c>
      <c r="AO72" s="796"/>
      <c r="AP72" s="648">
        <f>AP71/AN71-1</f>
        <v>1.1552792985387139E-2</v>
      </c>
      <c r="AQ72" s="648">
        <f>AQ71/AP71-1</f>
        <v>5.0649406388098894E-2</v>
      </c>
      <c r="AR72" s="648">
        <f>AR71/AQ71-1</f>
        <v>3.3023203400395218E-2</v>
      </c>
      <c r="AS72" s="648">
        <f>AS71/AR71-1</f>
        <v>1.5701674993054526E-2</v>
      </c>
      <c r="AT72" s="796"/>
      <c r="AU72" s="648">
        <f>AU71/AS71-1</f>
        <v>6.4261345424827088E-2</v>
      </c>
      <c r="AV72" s="648">
        <f>AV71/AU71-1</f>
        <v>2.0079332141690331E-2</v>
      </c>
      <c r="AW72" s="652">
        <f>AW71/AV71-1</f>
        <v>7.1272162028390706E-3</v>
      </c>
      <c r="AX72" s="648">
        <f>AX71/AW71-1</f>
        <v>1.5772865078612197E-2</v>
      </c>
      <c r="AY72" s="796"/>
      <c r="AZ72" s="648">
        <f>AZ71/AX71-1</f>
        <v>2.0099999999999785E-2</v>
      </c>
      <c r="BA72" s="648">
        <f>BA71/AZ71-1</f>
        <v>2.0100000000000229E-2</v>
      </c>
      <c r="BB72" s="648">
        <f>BB71/BA71-1</f>
        <v>2.0100000000000007E-2</v>
      </c>
      <c r="BC72" s="648">
        <f>BC71/BB71-1</f>
        <v>2.0100000000000007E-2</v>
      </c>
      <c r="BD72" s="796"/>
      <c r="BE72" s="796"/>
      <c r="BF72" s="796"/>
      <c r="BG72" s="796"/>
      <c r="BH72" s="824"/>
    </row>
    <row r="73" spans="1:60" s="649" customFormat="1" hidden="1" outlineLevel="1" x14ac:dyDescent="0.25">
      <c r="A73" s="838" t="s">
        <v>604</v>
      </c>
      <c r="B73" s="643"/>
      <c r="C73" s="165"/>
      <c r="D73" s="165"/>
      <c r="E73" s="165"/>
      <c r="F73" s="165"/>
      <c r="G73" s="474"/>
      <c r="H73" s="474"/>
      <c r="I73" s="474"/>
      <c r="J73" s="474"/>
      <c r="K73" s="165"/>
      <c r="L73" s="474"/>
      <c r="M73" s="474"/>
      <c r="N73" s="474"/>
      <c r="O73" s="474"/>
      <c r="P73" s="165"/>
      <c r="Q73" s="474"/>
      <c r="R73" s="474"/>
      <c r="S73" s="474"/>
      <c r="T73" s="474"/>
      <c r="U73" s="165"/>
      <c r="V73" s="474"/>
      <c r="W73" s="474"/>
      <c r="X73" s="474"/>
      <c r="Y73" s="474"/>
      <c r="Z73" s="165"/>
      <c r="AA73" s="474"/>
      <c r="AB73" s="474"/>
      <c r="AC73" s="474"/>
      <c r="AD73" s="474"/>
      <c r="AE73" s="165"/>
      <c r="AF73" s="436">
        <f t="shared" ref="AF73:BD73" si="56">+AF71/AA71-1</f>
        <v>0.24586944502060626</v>
      </c>
      <c r="AG73" s="436">
        <f t="shared" si="56"/>
        <v>0.26172727479797109</v>
      </c>
      <c r="AH73" s="436">
        <f t="shared" si="56"/>
        <v>0.25117361919073433</v>
      </c>
      <c r="AI73" s="436">
        <f t="shared" si="56"/>
        <v>0.21677636153868218</v>
      </c>
      <c r="AJ73" s="435">
        <f t="shared" si="56"/>
        <v>0.24331291204332661</v>
      </c>
      <c r="AK73" s="436">
        <f t="shared" si="56"/>
        <v>0.14204033383987213</v>
      </c>
      <c r="AL73" s="436">
        <f t="shared" si="56"/>
        <v>0.22036733988893165</v>
      </c>
      <c r="AM73" s="436">
        <f t="shared" si="56"/>
        <v>0.25128290808411102</v>
      </c>
      <c r="AN73" s="436">
        <f t="shared" si="56"/>
        <v>0.23643404216329733</v>
      </c>
      <c r="AO73" s="435">
        <f t="shared" si="56"/>
        <v>0.21368944779782306</v>
      </c>
      <c r="AP73" s="436">
        <f t="shared" si="56"/>
        <v>0.19758725764350404</v>
      </c>
      <c r="AQ73" s="436">
        <f t="shared" si="56"/>
        <v>0.13532349884995165</v>
      </c>
      <c r="AR73" s="436">
        <f t="shared" si="56"/>
        <v>0.11910157367668095</v>
      </c>
      <c r="AS73" s="436">
        <f t="shared" si="56"/>
        <v>0.11512260152669973</v>
      </c>
      <c r="AT73" s="435">
        <f t="shared" si="56"/>
        <v>0.1397034067944869</v>
      </c>
      <c r="AU73" s="436">
        <f t="shared" si="56"/>
        <v>0.17322782206146581</v>
      </c>
      <c r="AV73" s="436">
        <f t="shared" si="56"/>
        <v>0.13909116200121852</v>
      </c>
      <c r="AW73" s="596">
        <f t="shared" si="56"/>
        <v>0.11053624663152029</v>
      </c>
      <c r="AX73" s="436">
        <f t="shared" si="56"/>
        <v>0.11061408363066993</v>
      </c>
      <c r="AY73" s="435">
        <f t="shared" si="56"/>
        <v>0.13242634434008216</v>
      </c>
      <c r="AZ73" s="436">
        <f t="shared" si="56"/>
        <v>6.4529339134651531E-2</v>
      </c>
      <c r="BA73" s="436">
        <f t="shared" si="56"/>
        <v>6.4550907595902318E-2</v>
      </c>
      <c r="BB73" s="436">
        <f t="shared" si="56"/>
        <v>7.8263364714657779E-2</v>
      </c>
      <c r="BC73" s="436">
        <f t="shared" si="56"/>
        <v>8.2856705628080229E-2</v>
      </c>
      <c r="BD73" s="435">
        <f t="shared" si="56"/>
        <v>7.2658740737168825E-2</v>
      </c>
      <c r="BE73" s="435">
        <f>+BE71/BD71-1</f>
        <v>6.6252400684540635E-2</v>
      </c>
      <c r="BF73" s="435">
        <f>+BF71/BE71-1</f>
        <v>6.0900000000000176E-2</v>
      </c>
      <c r="BG73" s="435">
        <f>+BG71/BF71-1</f>
        <v>6.0899999999999954E-2</v>
      </c>
      <c r="BH73" s="648"/>
    </row>
    <row r="74" spans="1:60" s="57" customFormat="1" collapsed="1" x14ac:dyDescent="0.25">
      <c r="A74" s="481"/>
      <c r="B74" s="482"/>
      <c r="C74" s="547"/>
      <c r="D74" s="547"/>
      <c r="E74" s="547"/>
      <c r="F74" s="547"/>
      <c r="G74" s="483"/>
      <c r="H74" s="483"/>
      <c r="I74" s="483"/>
      <c r="J74" s="483"/>
      <c r="K74" s="547"/>
      <c r="L74" s="483"/>
      <c r="M74" s="483"/>
      <c r="N74" s="483"/>
      <c r="O74" s="483"/>
      <c r="P74" s="547"/>
      <c r="Q74" s="483"/>
      <c r="R74" s="483"/>
      <c r="S74" s="483"/>
      <c r="T74" s="483"/>
      <c r="U74" s="547"/>
      <c r="V74" s="483"/>
      <c r="W74" s="483"/>
      <c r="X74" s="483"/>
      <c r="Y74" s="483"/>
      <c r="Z74" s="547"/>
      <c r="AA74" s="483"/>
      <c r="AB74" s="483"/>
      <c r="AC74" s="483"/>
      <c r="AD74" s="483"/>
      <c r="AE74" s="547"/>
      <c r="AF74" s="483"/>
      <c r="AG74" s="483"/>
      <c r="AH74" s="483"/>
      <c r="AI74" s="483"/>
      <c r="AJ74" s="547"/>
      <c r="AK74" s="483"/>
      <c r="AL74" s="483"/>
      <c r="AM74" s="483"/>
      <c r="AN74" s="483"/>
      <c r="AO74" s="547"/>
      <c r="AP74" s="483"/>
      <c r="AQ74" s="483"/>
      <c r="AR74" s="483"/>
      <c r="AS74" s="483"/>
      <c r="AT74" s="547"/>
      <c r="AU74" s="483"/>
      <c r="AV74" s="483"/>
      <c r="AW74" s="571"/>
      <c r="AX74" s="483"/>
      <c r="AY74" s="547"/>
      <c r="AZ74" s="483"/>
      <c r="BA74" s="483"/>
      <c r="BB74" s="483"/>
      <c r="BC74" s="483"/>
      <c r="BD74" s="547"/>
      <c r="BE74" s="547"/>
      <c r="BF74" s="547"/>
      <c r="BG74" s="547"/>
      <c r="BH74" s="383"/>
    </row>
    <row r="75" spans="1:60" s="57" customFormat="1" x14ac:dyDescent="0.25">
      <c r="A75" s="819" t="s">
        <v>616</v>
      </c>
      <c r="B75" s="819"/>
      <c r="C75" s="861"/>
      <c r="D75" s="861"/>
      <c r="E75" s="861"/>
      <c r="F75" s="861"/>
      <c r="G75" s="861"/>
      <c r="H75" s="861"/>
      <c r="I75" s="861"/>
      <c r="J75" s="861"/>
      <c r="K75" s="861"/>
      <c r="L75" s="861"/>
      <c r="M75" s="861"/>
      <c r="N75" s="861"/>
      <c r="O75" s="861"/>
      <c r="P75" s="861"/>
      <c r="Q75" s="861"/>
      <c r="R75" s="861"/>
      <c r="S75" s="861"/>
      <c r="T75" s="861"/>
      <c r="U75" s="861"/>
      <c r="V75" s="861"/>
      <c r="W75" s="861"/>
      <c r="X75" s="861"/>
      <c r="Y75" s="861"/>
      <c r="Z75" s="861"/>
      <c r="AA75" s="861"/>
      <c r="AB75" s="861"/>
      <c r="AC75" s="861"/>
      <c r="AD75" s="861"/>
      <c r="AE75" s="861"/>
      <c r="AF75" s="861"/>
      <c r="AG75" s="861"/>
      <c r="AH75" s="861"/>
      <c r="AI75" s="861"/>
      <c r="AJ75" s="861"/>
      <c r="AK75" s="861"/>
      <c r="AL75" s="861"/>
      <c r="AM75" s="861"/>
      <c r="AN75" s="861"/>
      <c r="AO75" s="861"/>
      <c r="AP75" s="861"/>
      <c r="AQ75" s="861"/>
      <c r="AR75" s="861"/>
      <c r="AS75" s="861"/>
      <c r="AT75" s="861"/>
      <c r="AU75" s="861"/>
      <c r="AV75" s="861"/>
      <c r="AW75" s="862"/>
      <c r="AX75" s="861"/>
      <c r="AY75" s="861"/>
      <c r="AZ75" s="861"/>
      <c r="BA75" s="861"/>
      <c r="BB75" s="861"/>
      <c r="BC75" s="861"/>
      <c r="BD75" s="861"/>
      <c r="BE75" s="861"/>
      <c r="BF75" s="861"/>
      <c r="BG75" s="861"/>
      <c r="BH75" s="824"/>
    </row>
    <row r="76" spans="1:60" s="58" customFormat="1" hidden="1" outlineLevel="1" x14ac:dyDescent="0.25">
      <c r="A76" s="379" t="s">
        <v>742</v>
      </c>
      <c r="B76" s="487"/>
      <c r="C76" s="400"/>
      <c r="D76" s="400"/>
      <c r="E76" s="400"/>
      <c r="F76" s="400"/>
      <c r="G76" s="399"/>
      <c r="H76" s="399"/>
      <c r="I76" s="399"/>
      <c r="J76" s="399"/>
      <c r="K76" s="400"/>
      <c r="L76" s="399"/>
      <c r="M76" s="399"/>
      <c r="N76" s="399"/>
      <c r="O76" s="399"/>
      <c r="P76" s="400"/>
      <c r="Q76" s="399"/>
      <c r="R76" s="399"/>
      <c r="S76" s="399"/>
      <c r="T76" s="399"/>
      <c r="U76" s="400"/>
      <c r="V76" s="399"/>
      <c r="W76" s="399"/>
      <c r="X76" s="399"/>
      <c r="Y76" s="399"/>
      <c r="Z76" s="400"/>
      <c r="AA76" s="399">
        <f>AA82*2-AA78</f>
        <v>17831</v>
      </c>
      <c r="AB76" s="399">
        <f>AA78</f>
        <v>19699</v>
      </c>
      <c r="AC76" s="399">
        <f>AB78</f>
        <v>21152</v>
      </c>
      <c r="AD76" s="399">
        <f>AC78</f>
        <v>23135</v>
      </c>
      <c r="AE76" s="400">
        <f>AA76</f>
        <v>17831</v>
      </c>
      <c r="AF76" s="89">
        <f>AE78</f>
        <v>26004</v>
      </c>
      <c r="AG76" s="89">
        <f>AF78</f>
        <v>29339</v>
      </c>
      <c r="AH76" s="89">
        <f>AG78</f>
        <v>31317</v>
      </c>
      <c r="AI76" s="89">
        <f>AH78</f>
        <v>33836</v>
      </c>
      <c r="AJ76" s="377">
        <f>AE78</f>
        <v>26004</v>
      </c>
      <c r="AK76" s="89">
        <f>AJ78</f>
        <v>37818</v>
      </c>
      <c r="AL76" s="89">
        <f>AK78</f>
        <v>42542</v>
      </c>
      <c r="AM76" s="89">
        <f>AL78</f>
        <v>44229</v>
      </c>
      <c r="AN76" s="89">
        <f>AM78</f>
        <v>47355</v>
      </c>
      <c r="AO76" s="377">
        <f>AJ78</f>
        <v>37818</v>
      </c>
      <c r="AP76" s="89">
        <f>AO78</f>
        <v>51778</v>
      </c>
      <c r="AQ76" s="89">
        <f>AP78</f>
        <v>58734</v>
      </c>
      <c r="AR76" s="89">
        <f>AQ78</f>
        <v>61483</v>
      </c>
      <c r="AS76" s="89">
        <f>AR78</f>
        <v>62242</v>
      </c>
      <c r="AT76" s="377">
        <f>AO78</f>
        <v>51778</v>
      </c>
      <c r="AU76" s="89">
        <f>AT78</f>
        <v>66698</v>
      </c>
      <c r="AV76" s="89">
        <f>AU78</f>
        <v>68508</v>
      </c>
      <c r="AW76" s="647">
        <f>AV78</f>
        <v>68696</v>
      </c>
      <c r="AX76" s="89">
        <f>AW78</f>
        <v>70500</v>
      </c>
      <c r="AY76" s="377">
        <f>AT78</f>
        <v>66698</v>
      </c>
      <c r="AZ76" s="89">
        <f>AY78</f>
        <v>73320</v>
      </c>
      <c r="BA76" s="89">
        <f>AZ78</f>
        <v>74786.399999999994</v>
      </c>
      <c r="BB76" s="89">
        <f>BA78</f>
        <v>76282.127999999997</v>
      </c>
      <c r="BC76" s="89">
        <f>BB78</f>
        <v>77807.77055999999</v>
      </c>
      <c r="BD76" s="377">
        <f>AY78</f>
        <v>73320</v>
      </c>
      <c r="BE76" s="377">
        <f>BD78</f>
        <v>79363.925971200006</v>
      </c>
      <c r="BF76" s="377">
        <f>BE78</f>
        <v>91268.51486688001</v>
      </c>
      <c r="BG76" s="377">
        <f>BF78</f>
        <v>104958.79209691202</v>
      </c>
      <c r="BH76" s="89"/>
    </row>
    <row r="77" spans="1:60" s="57" customFormat="1" hidden="1" outlineLevel="1" x14ac:dyDescent="0.25">
      <c r="A77" s="401" t="s">
        <v>619</v>
      </c>
      <c r="B77" s="488"/>
      <c r="C77" s="548"/>
      <c r="D77" s="548"/>
      <c r="E77" s="548"/>
      <c r="F77" s="548"/>
      <c r="G77" s="489"/>
      <c r="H77" s="489"/>
      <c r="I77" s="489"/>
      <c r="J77" s="489"/>
      <c r="K77" s="548"/>
      <c r="L77" s="489"/>
      <c r="M77" s="489"/>
      <c r="N77" s="489"/>
      <c r="O77" s="489"/>
      <c r="P77" s="548"/>
      <c r="Q77" s="489"/>
      <c r="R77" s="489"/>
      <c r="S77" s="489"/>
      <c r="T77" s="489"/>
      <c r="U77" s="548"/>
      <c r="V77" s="489"/>
      <c r="W77" s="489"/>
      <c r="X77" s="489"/>
      <c r="Y77" s="489"/>
      <c r="Z77" s="548"/>
      <c r="AA77" s="489">
        <f>AA78-AA76</f>
        <v>1868</v>
      </c>
      <c r="AB77" s="489">
        <f>AB78-AB76</f>
        <v>1453</v>
      </c>
      <c r="AC77" s="489">
        <f>AC78-AC76</f>
        <v>1983</v>
      </c>
      <c r="AD77" s="489">
        <f>AD78-AD76</f>
        <v>2869</v>
      </c>
      <c r="AE77" s="548">
        <f>SUM(AA77,AB77,AC77,AD77)</f>
        <v>8173</v>
      </c>
      <c r="AF77" s="403">
        <f>AF78-AF76</f>
        <v>3335</v>
      </c>
      <c r="AG77" s="403">
        <f>AG78-AG76</f>
        <v>1978</v>
      </c>
      <c r="AH77" s="403">
        <f>AH78-AH76</f>
        <v>2519</v>
      </c>
      <c r="AI77" s="403">
        <f>AI78-AI76</f>
        <v>3982</v>
      </c>
      <c r="AJ77" s="402">
        <f>SUM(AF77,AG77,AH77,AI77)</f>
        <v>11814</v>
      </c>
      <c r="AK77" s="403">
        <f>AK78-AK76</f>
        <v>4724</v>
      </c>
      <c r="AL77" s="403">
        <f>AL78-AL76</f>
        <v>1687</v>
      </c>
      <c r="AM77" s="403">
        <f>AM78-AM76</f>
        <v>3126</v>
      </c>
      <c r="AN77" s="403">
        <f>AN78-AN76</f>
        <v>4423</v>
      </c>
      <c r="AO77" s="402">
        <f>SUM(AK77,AL77,AM77,AN77)</f>
        <v>13960</v>
      </c>
      <c r="AP77" s="403">
        <f>AP78-AP76</f>
        <v>6956</v>
      </c>
      <c r="AQ77" s="403">
        <f>AQ78-AQ76</f>
        <v>2749</v>
      </c>
      <c r="AR77" s="403">
        <f>AR78-AR76</f>
        <v>759</v>
      </c>
      <c r="AS77" s="403">
        <f>AS78-AS76</f>
        <v>4456</v>
      </c>
      <c r="AT77" s="402">
        <f>SUM(AP77,AQ77,AR77,AS77)</f>
        <v>14920</v>
      </c>
      <c r="AU77" s="403">
        <f>AU78-AU76</f>
        <v>1810</v>
      </c>
      <c r="AV77" s="403">
        <f>AV78-AV76</f>
        <v>188</v>
      </c>
      <c r="AW77" s="675">
        <f>AW78-AW76</f>
        <v>1804</v>
      </c>
      <c r="AX77" s="403">
        <f>AX79*AX76</f>
        <v>2820</v>
      </c>
      <c r="AY77" s="402">
        <f>SUM(AU77,AV77,AW77,AX77)</f>
        <v>6622</v>
      </c>
      <c r="AZ77" s="403">
        <f>AZ79*AZ76</f>
        <v>1466.4</v>
      </c>
      <c r="BA77" s="403">
        <f>BA79*BA76</f>
        <v>1495.7279999999998</v>
      </c>
      <c r="BB77" s="403">
        <f>BB79*BB76</f>
        <v>1525.64256</v>
      </c>
      <c r="BC77" s="403">
        <f>BC79*BC76</f>
        <v>1556.1554111999999</v>
      </c>
      <c r="BD77" s="402">
        <f>SUM(AZ77,BA77,BB77,BC77)</f>
        <v>6043.9259712000003</v>
      </c>
      <c r="BE77" s="402">
        <f>BE80*BE76</f>
        <v>11904.588895680001</v>
      </c>
      <c r="BF77" s="402">
        <f>BF80*BF76</f>
        <v>13690.277230032001</v>
      </c>
      <c r="BG77" s="402">
        <f>BG80*BG76</f>
        <v>15743.818814536802</v>
      </c>
      <c r="BH77" s="280"/>
    </row>
    <row r="78" spans="1:60" s="58" customFormat="1" hidden="1" outlineLevel="1" x14ac:dyDescent="0.25">
      <c r="A78" s="379" t="s">
        <v>744</v>
      </c>
      <c r="B78" s="487"/>
      <c r="C78" s="400"/>
      <c r="D78" s="400"/>
      <c r="E78" s="400"/>
      <c r="F78" s="400"/>
      <c r="G78" s="399"/>
      <c r="H78" s="399"/>
      <c r="I78" s="399"/>
      <c r="J78" s="399"/>
      <c r="K78" s="400"/>
      <c r="L78" s="399"/>
      <c r="M78" s="399"/>
      <c r="N78" s="399"/>
      <c r="O78" s="399"/>
      <c r="P78" s="400"/>
      <c r="Q78" s="399"/>
      <c r="R78" s="399"/>
      <c r="S78" s="399"/>
      <c r="T78" s="399"/>
      <c r="U78" s="400"/>
      <c r="V78" s="399"/>
      <c r="W78" s="399"/>
      <c r="X78" s="399"/>
      <c r="Y78" s="399"/>
      <c r="Z78" s="400"/>
      <c r="AA78" s="89">
        <v>19699</v>
      </c>
      <c r="AB78" s="89">
        <v>21152</v>
      </c>
      <c r="AC78" s="89">
        <v>23135</v>
      </c>
      <c r="AD78" s="89">
        <v>26004</v>
      </c>
      <c r="AE78" s="377">
        <f>SUM(AE76:AE77)</f>
        <v>26004</v>
      </c>
      <c r="AF78" s="89">
        <v>29339</v>
      </c>
      <c r="AG78" s="89">
        <v>31317</v>
      </c>
      <c r="AH78" s="89">
        <v>33836</v>
      </c>
      <c r="AI78" s="89">
        <v>37818</v>
      </c>
      <c r="AJ78" s="377">
        <f>SUM(AJ76:AJ77)</f>
        <v>37818</v>
      </c>
      <c r="AK78" s="89">
        <v>42542</v>
      </c>
      <c r="AL78" s="89">
        <v>44229</v>
      </c>
      <c r="AM78" s="89">
        <v>47355</v>
      </c>
      <c r="AN78" s="89">
        <v>51778</v>
      </c>
      <c r="AO78" s="377">
        <f>SUM(AO76:AO77)</f>
        <v>51778</v>
      </c>
      <c r="AP78" s="89">
        <v>58734</v>
      </c>
      <c r="AQ78" s="89">
        <v>61483</v>
      </c>
      <c r="AR78" s="89">
        <v>62242</v>
      </c>
      <c r="AS78" s="89">
        <v>66698</v>
      </c>
      <c r="AT78" s="377">
        <f>SUM(AT76:AT77)</f>
        <v>66698</v>
      </c>
      <c r="AU78" s="89">
        <v>68508</v>
      </c>
      <c r="AV78" s="89">
        <v>68696</v>
      </c>
      <c r="AW78" s="647">
        <v>70500</v>
      </c>
      <c r="AX78" s="89">
        <f t="shared" ref="AX78:BG78" si="57">SUM(AX76:AX77)</f>
        <v>73320</v>
      </c>
      <c r="AY78" s="377">
        <f t="shared" si="57"/>
        <v>73320</v>
      </c>
      <c r="AZ78" s="89">
        <f t="shared" si="57"/>
        <v>74786.399999999994</v>
      </c>
      <c r="BA78" s="89">
        <f t="shared" si="57"/>
        <v>76282.127999999997</v>
      </c>
      <c r="BB78" s="89">
        <f t="shared" si="57"/>
        <v>77807.77055999999</v>
      </c>
      <c r="BC78" s="89">
        <f t="shared" si="57"/>
        <v>79363.925971199991</v>
      </c>
      <c r="BD78" s="377">
        <f t="shared" si="57"/>
        <v>79363.925971200006</v>
      </c>
      <c r="BE78" s="377">
        <f t="shared" si="57"/>
        <v>91268.51486688001</v>
      </c>
      <c r="BF78" s="377">
        <f t="shared" si="57"/>
        <v>104958.79209691202</v>
      </c>
      <c r="BG78" s="377">
        <f t="shared" si="57"/>
        <v>120702.61091144882</v>
      </c>
      <c r="BH78" s="89"/>
    </row>
    <row r="79" spans="1:60" s="58" customFormat="1" hidden="1" outlineLevel="1" x14ac:dyDescent="0.25">
      <c r="A79" s="651" t="s">
        <v>618</v>
      </c>
      <c r="B79" s="650"/>
      <c r="C79" s="796"/>
      <c r="D79" s="796"/>
      <c r="E79" s="796"/>
      <c r="F79" s="796"/>
      <c r="G79" s="163"/>
      <c r="H79" s="163"/>
      <c r="I79" s="163"/>
      <c r="J79" s="163"/>
      <c r="K79" s="796"/>
      <c r="L79" s="163"/>
      <c r="M79" s="163"/>
      <c r="N79" s="163"/>
      <c r="O79" s="163"/>
      <c r="P79" s="796"/>
      <c r="Q79" s="163"/>
      <c r="R79" s="163"/>
      <c r="S79" s="163"/>
      <c r="T79" s="163"/>
      <c r="U79" s="796"/>
      <c r="V79" s="163"/>
      <c r="W79" s="163"/>
      <c r="X79" s="163"/>
      <c r="Y79" s="163"/>
      <c r="Z79" s="796"/>
      <c r="AA79" s="163"/>
      <c r="AB79" s="648">
        <f>AB78/AA78-1</f>
        <v>7.3760089344636848E-2</v>
      </c>
      <c r="AC79" s="648">
        <f>AC78/AB78-1</f>
        <v>9.375E-2</v>
      </c>
      <c r="AD79" s="648">
        <f>AD78/AC78-1</f>
        <v>0.12401123838340178</v>
      </c>
      <c r="AE79" s="796"/>
      <c r="AF79" s="648">
        <f>AF78/AD78-1</f>
        <v>0.12824950007691127</v>
      </c>
      <c r="AG79" s="648">
        <f>AG78/AF78-1</f>
        <v>6.7418794096594903E-2</v>
      </c>
      <c r="AH79" s="648">
        <f>AH78/AG78-1</f>
        <v>8.0435546188970752E-2</v>
      </c>
      <c r="AI79" s="648">
        <f>AI78/AH78-1</f>
        <v>0.11768530559167756</v>
      </c>
      <c r="AJ79" s="796"/>
      <c r="AK79" s="648">
        <f>AK78/AI78-1</f>
        <v>0.12491406208683697</v>
      </c>
      <c r="AL79" s="648">
        <f>AL78/AK78-1</f>
        <v>3.965492924639169E-2</v>
      </c>
      <c r="AM79" s="648">
        <f>AM78/AL78-1</f>
        <v>7.0677609713084122E-2</v>
      </c>
      <c r="AN79" s="648">
        <f>AN78/AM78-1</f>
        <v>9.3400908035054409E-2</v>
      </c>
      <c r="AO79" s="796"/>
      <c r="AP79" s="648">
        <f>AP78/AN78-1</f>
        <v>0.13434277106106851</v>
      </c>
      <c r="AQ79" s="648">
        <f>AQ78/AP78-1</f>
        <v>4.6804236047264025E-2</v>
      </c>
      <c r="AR79" s="648">
        <f>AR78/AQ78-1</f>
        <v>1.234487581933208E-2</v>
      </c>
      <c r="AS79" s="648">
        <f>AS78/AR78-1</f>
        <v>7.1591529835159484E-2</v>
      </c>
      <c r="AT79" s="796"/>
      <c r="AU79" s="648">
        <f>AU78/AS78-1</f>
        <v>2.713724549461749E-2</v>
      </c>
      <c r="AV79" s="648">
        <f>AV78/AU78-1</f>
        <v>2.7442050563437625E-3</v>
      </c>
      <c r="AW79" s="652">
        <f>AW78/AV78-1</f>
        <v>2.6260626528473274E-2</v>
      </c>
      <c r="AX79" s="653">
        <v>0.04</v>
      </c>
      <c r="AY79" s="796"/>
      <c r="AZ79" s="653">
        <v>0.02</v>
      </c>
      <c r="BA79" s="653">
        <v>0.02</v>
      </c>
      <c r="BB79" s="653">
        <v>0.02</v>
      </c>
      <c r="BC79" s="653">
        <v>0.02</v>
      </c>
      <c r="BD79" s="796"/>
      <c r="BE79" s="796"/>
      <c r="BF79" s="796"/>
      <c r="BG79" s="796"/>
      <c r="BH79" s="89"/>
    </row>
    <row r="80" spans="1:60" s="649" customFormat="1" hidden="1" outlineLevel="1" x14ac:dyDescent="0.25">
      <c r="A80" s="834" t="s">
        <v>617</v>
      </c>
      <c r="B80" s="643"/>
      <c r="C80" s="165"/>
      <c r="D80" s="165"/>
      <c r="E80" s="165"/>
      <c r="F80" s="165"/>
      <c r="G80" s="474"/>
      <c r="H80" s="474"/>
      <c r="I80" s="474"/>
      <c r="J80" s="474"/>
      <c r="K80" s="165"/>
      <c r="L80" s="474"/>
      <c r="M80" s="474"/>
      <c r="N80" s="474"/>
      <c r="O80" s="474"/>
      <c r="P80" s="165"/>
      <c r="Q80" s="474"/>
      <c r="R80" s="474"/>
      <c r="S80" s="474"/>
      <c r="T80" s="474"/>
      <c r="U80" s="165"/>
      <c r="V80" s="474"/>
      <c r="W80" s="474"/>
      <c r="X80" s="474"/>
      <c r="Y80" s="474"/>
      <c r="Z80" s="165"/>
      <c r="AA80" s="474"/>
      <c r="AB80" s="474"/>
      <c r="AC80" s="474"/>
      <c r="AD80" s="474"/>
      <c r="AE80" s="165"/>
      <c r="AF80" s="474">
        <f t="shared" ref="AF80:BD80" si="58">+AF78/AA78-1</f>
        <v>0.4893649423828621</v>
      </c>
      <c r="AG80" s="474">
        <f t="shared" si="58"/>
        <v>0.48056921331316182</v>
      </c>
      <c r="AH80" s="474">
        <f t="shared" si="58"/>
        <v>0.46254592608601697</v>
      </c>
      <c r="AI80" s="474">
        <f t="shared" si="58"/>
        <v>0.45431472081218272</v>
      </c>
      <c r="AJ80" s="165">
        <f t="shared" si="58"/>
        <v>0.45431472081218272</v>
      </c>
      <c r="AK80" s="474">
        <f t="shared" si="58"/>
        <v>0.45001533794607851</v>
      </c>
      <c r="AL80" s="474">
        <f t="shared" si="58"/>
        <v>0.41230002873838489</v>
      </c>
      <c r="AM80" s="474">
        <f t="shared" si="58"/>
        <v>0.39954486345903772</v>
      </c>
      <c r="AN80" s="474">
        <f t="shared" si="58"/>
        <v>0.3691363900787985</v>
      </c>
      <c r="AO80" s="165">
        <f t="shared" si="58"/>
        <v>0.3691363900787985</v>
      </c>
      <c r="AP80" s="474">
        <f t="shared" si="58"/>
        <v>0.38061210098255849</v>
      </c>
      <c r="AQ80" s="474">
        <f t="shared" si="58"/>
        <v>0.39010603902416974</v>
      </c>
      <c r="AR80" s="474">
        <f t="shared" si="58"/>
        <v>0.31437018266286554</v>
      </c>
      <c r="AS80" s="474">
        <f t="shared" si="58"/>
        <v>0.28815326972845612</v>
      </c>
      <c r="AT80" s="165">
        <f t="shared" si="58"/>
        <v>0.28815326972845612</v>
      </c>
      <c r="AU80" s="474">
        <f t="shared" si="58"/>
        <v>0.16641127796506283</v>
      </c>
      <c r="AV80" s="474">
        <f t="shared" si="58"/>
        <v>0.11731698192996443</v>
      </c>
      <c r="AW80" s="596">
        <f t="shared" si="58"/>
        <v>0.13267568522862372</v>
      </c>
      <c r="AX80" s="436">
        <f t="shared" si="58"/>
        <v>9.9283336831688995E-2</v>
      </c>
      <c r="AY80" s="435">
        <f t="shared" si="58"/>
        <v>9.9283336831688995E-2</v>
      </c>
      <c r="AZ80" s="436">
        <f t="shared" si="58"/>
        <v>9.1644771413557535E-2</v>
      </c>
      <c r="BA80" s="436">
        <f t="shared" si="58"/>
        <v>0.11043041807383247</v>
      </c>
      <c r="BB80" s="436">
        <f t="shared" si="58"/>
        <v>0.1036563199999998</v>
      </c>
      <c r="BC80" s="436">
        <f t="shared" si="58"/>
        <v>8.2432159999999977E-2</v>
      </c>
      <c r="BD80" s="435">
        <f t="shared" si="58"/>
        <v>8.2432159999999977E-2</v>
      </c>
      <c r="BE80" s="438">
        <v>0.15</v>
      </c>
      <c r="BF80" s="438">
        <v>0.15</v>
      </c>
      <c r="BG80" s="438">
        <v>0.15</v>
      </c>
      <c r="BH80" s="648"/>
    </row>
    <row r="81" spans="1:60" s="753" customFormat="1" ht="7.5" hidden="1" customHeight="1" outlineLevel="1" x14ac:dyDescent="0.25">
      <c r="A81" s="807"/>
      <c r="B81" s="808"/>
      <c r="C81" s="547"/>
      <c r="D81" s="547"/>
      <c r="E81" s="547"/>
      <c r="F81" s="547"/>
      <c r="G81" s="483"/>
      <c r="H81" s="483"/>
      <c r="I81" s="483"/>
      <c r="J81" s="483"/>
      <c r="K81" s="547"/>
      <c r="L81" s="483"/>
      <c r="M81" s="483"/>
      <c r="N81" s="483"/>
      <c r="O81" s="483"/>
      <c r="P81" s="547"/>
      <c r="Q81" s="483"/>
      <c r="R81" s="483"/>
      <c r="S81" s="483"/>
      <c r="T81" s="483"/>
      <c r="U81" s="547"/>
      <c r="V81" s="483"/>
      <c r="W81" s="483"/>
      <c r="X81" s="483"/>
      <c r="Y81" s="483"/>
      <c r="Z81" s="547"/>
      <c r="AA81" s="483"/>
      <c r="AB81" s="483"/>
      <c r="AC81" s="483"/>
      <c r="AD81" s="483"/>
      <c r="AE81" s="547"/>
      <c r="AF81" s="483"/>
      <c r="AG81" s="483"/>
      <c r="AH81" s="483"/>
      <c r="AI81" s="483"/>
      <c r="AJ81" s="547"/>
      <c r="AK81" s="483"/>
      <c r="AL81" s="483"/>
      <c r="AM81" s="483"/>
      <c r="AN81" s="483"/>
      <c r="AO81" s="547"/>
      <c r="AP81" s="483"/>
      <c r="AQ81" s="483"/>
      <c r="AR81" s="483"/>
      <c r="AS81" s="483"/>
      <c r="AT81" s="547"/>
      <c r="AU81" s="483"/>
      <c r="AV81" s="483"/>
      <c r="AW81" s="571"/>
      <c r="AX81" s="810"/>
      <c r="AY81" s="809"/>
      <c r="AZ81" s="810"/>
      <c r="BA81" s="810"/>
      <c r="BB81" s="810"/>
      <c r="BC81" s="810"/>
      <c r="BD81" s="809"/>
      <c r="BE81" s="809"/>
      <c r="BF81" s="809"/>
      <c r="BG81" s="809"/>
      <c r="BH81" s="811"/>
    </row>
    <row r="82" spans="1:60" s="376" customFormat="1" hidden="1" outlineLevel="1" x14ac:dyDescent="0.25">
      <c r="A82" s="500" t="s">
        <v>710</v>
      </c>
      <c r="B82" s="804"/>
      <c r="C82" s="555"/>
      <c r="D82" s="555"/>
      <c r="E82" s="555"/>
      <c r="F82" s="555"/>
      <c r="G82" s="502"/>
      <c r="H82" s="502"/>
      <c r="I82" s="502"/>
      <c r="J82" s="502"/>
      <c r="K82" s="555"/>
      <c r="L82" s="502"/>
      <c r="M82" s="502"/>
      <c r="N82" s="502"/>
      <c r="O82" s="502"/>
      <c r="P82" s="555"/>
      <c r="Q82" s="502"/>
      <c r="R82" s="502"/>
      <c r="S82" s="502"/>
      <c r="T82" s="502"/>
      <c r="U82" s="555"/>
      <c r="V82" s="502"/>
      <c r="W82" s="502"/>
      <c r="X82" s="502"/>
      <c r="Y82" s="502"/>
      <c r="Z82" s="555"/>
      <c r="AA82" s="502">
        <v>18765</v>
      </c>
      <c r="AB82" s="502">
        <f>AVERAGE(AB78,AB76)</f>
        <v>20425.5</v>
      </c>
      <c r="AC82" s="502">
        <f>AVERAGE(AC78,AC76)</f>
        <v>22143.5</v>
      </c>
      <c r="AD82" s="502">
        <f>AVERAGE(AD78,AD76)</f>
        <v>24569.5</v>
      </c>
      <c r="AE82" s="555">
        <f>AVERAGE(AA82,AB82,AC82,AD82)</f>
        <v>21475.875</v>
      </c>
      <c r="AF82" s="502">
        <f>AVERAGE(AF78,AF76)</f>
        <v>27671.5</v>
      </c>
      <c r="AG82" s="502">
        <f>AVERAGE(AG78,AG76)</f>
        <v>30328</v>
      </c>
      <c r="AH82" s="502">
        <f>AVERAGE(AH78,AH76)</f>
        <v>32576.5</v>
      </c>
      <c r="AI82" s="502">
        <f>AVERAGE(AI78,AI76)</f>
        <v>35827</v>
      </c>
      <c r="AJ82" s="555">
        <f>AVERAGE(AF82,AG82,AH82,AI82)</f>
        <v>31600.75</v>
      </c>
      <c r="AK82" s="502">
        <f>AVERAGE(AK78,AK76)</f>
        <v>40180</v>
      </c>
      <c r="AL82" s="502">
        <f>AVERAGE(AL78,AL76)</f>
        <v>43385.5</v>
      </c>
      <c r="AM82" s="502">
        <f>AVERAGE(AM78,AM76)</f>
        <v>45792</v>
      </c>
      <c r="AN82" s="502">
        <f>AVERAGE(AN78,AN76)</f>
        <v>49566.5</v>
      </c>
      <c r="AO82" s="555">
        <f>AVERAGE(AK82,AL82,AM82,AN82)</f>
        <v>44731</v>
      </c>
      <c r="AP82" s="502">
        <f>AVERAGE(AP78,AP76)</f>
        <v>55256</v>
      </c>
      <c r="AQ82" s="502">
        <f>AVERAGE(AQ78,AQ76)</f>
        <v>60108.5</v>
      </c>
      <c r="AR82" s="502">
        <f>AVERAGE(AR78,AR76)</f>
        <v>61862.5</v>
      </c>
      <c r="AS82" s="502">
        <f>AVERAGE(AS78,AS76)</f>
        <v>64470</v>
      </c>
      <c r="AT82" s="555">
        <f>AVERAGE(AP82,AQ82,AR82,AS82)</f>
        <v>60424.25</v>
      </c>
      <c r="AU82" s="502">
        <f>AVERAGE(AU78,AU76)</f>
        <v>67603</v>
      </c>
      <c r="AV82" s="502">
        <f>AVERAGE(AV78,AV76)</f>
        <v>68602</v>
      </c>
      <c r="AW82" s="635">
        <f>AVERAGE(AW78,AW76)</f>
        <v>69598</v>
      </c>
      <c r="AX82" s="502">
        <f>AVERAGE(AX78,AX76)</f>
        <v>71910</v>
      </c>
      <c r="AY82" s="555">
        <f>AVERAGE(AU82,AV82,AW82,AX82)</f>
        <v>69428.25</v>
      </c>
      <c r="AZ82" s="502">
        <f>AVERAGE(AZ78,AZ76)</f>
        <v>74053.2</v>
      </c>
      <c r="BA82" s="502">
        <f>AVERAGE(BA78,BA76)</f>
        <v>75534.263999999996</v>
      </c>
      <c r="BB82" s="502">
        <f>AVERAGE(BB78,BB76)</f>
        <v>77044.949280000001</v>
      </c>
      <c r="BC82" s="502">
        <f>AVERAGE(BC78,BC76)</f>
        <v>78585.848265599983</v>
      </c>
      <c r="BD82" s="555">
        <f>AVERAGE(AZ82,BA82,BB82,BC82)</f>
        <v>76304.565386399991</v>
      </c>
      <c r="BE82" s="555">
        <f>AVERAGE(BE78,BE76)</f>
        <v>85316.220419040008</v>
      </c>
      <c r="BF82" s="555">
        <f>AVERAGE(BF78,BF76)</f>
        <v>98113.653481896006</v>
      </c>
      <c r="BG82" s="555">
        <f>AVERAGE(BG78,BG76)</f>
        <v>112830.70150418041</v>
      </c>
      <c r="BH82" s="280"/>
    </row>
    <row r="83" spans="1:60" s="376" customFormat="1" hidden="1" outlineLevel="1" x14ac:dyDescent="0.25">
      <c r="A83" s="681" t="s">
        <v>714</v>
      </c>
      <c r="B83" s="754"/>
      <c r="C83" s="165"/>
      <c r="D83" s="165"/>
      <c r="E83" s="165"/>
      <c r="F83" s="165"/>
      <c r="G83" s="474"/>
      <c r="H83" s="474"/>
      <c r="I83" s="474"/>
      <c r="J83" s="474"/>
      <c r="K83" s="165"/>
      <c r="L83" s="474"/>
      <c r="M83" s="474"/>
      <c r="N83" s="474"/>
      <c r="O83" s="474"/>
      <c r="P83" s="165"/>
      <c r="Q83" s="474"/>
      <c r="R83" s="474"/>
      <c r="S83" s="474"/>
      <c r="T83" s="474"/>
      <c r="U83" s="165"/>
      <c r="V83" s="474"/>
      <c r="W83" s="474"/>
      <c r="X83" s="474"/>
      <c r="Y83" s="474"/>
      <c r="Z83" s="165"/>
      <c r="AA83" s="474"/>
      <c r="AB83" s="474">
        <f>AB82/AA82-1</f>
        <v>8.8489208633093508E-2</v>
      </c>
      <c r="AC83" s="474">
        <f>AC82/AB82-1</f>
        <v>8.4110548089397996E-2</v>
      </c>
      <c r="AD83" s="474">
        <f>AD82/AC82-1</f>
        <v>0.10955810960326962</v>
      </c>
      <c r="AE83" s="165"/>
      <c r="AF83" s="474">
        <f>AF82/AD82-1</f>
        <v>0.12625409552493938</v>
      </c>
      <c r="AG83" s="474">
        <f>AG82/AF82-1</f>
        <v>9.6001300977540005E-2</v>
      </c>
      <c r="AH83" s="474">
        <f>AH82/AG82-1</f>
        <v>7.4139409126879441E-2</v>
      </c>
      <c r="AI83" s="474">
        <f>AI82/AH82-1</f>
        <v>9.9780516630086025E-2</v>
      </c>
      <c r="AJ83" s="165"/>
      <c r="AK83" s="474">
        <f>AK82/AI82-1</f>
        <v>0.12150054428224522</v>
      </c>
      <c r="AL83" s="474">
        <f>AL82/AK82-1</f>
        <v>7.9778496764559392E-2</v>
      </c>
      <c r="AM83" s="474">
        <f>AM82/AL82-1</f>
        <v>5.5467840638001142E-2</v>
      </c>
      <c r="AN83" s="474">
        <f>AN82/AM82-1</f>
        <v>8.2427061495457643E-2</v>
      </c>
      <c r="AO83" s="165"/>
      <c r="AP83" s="474">
        <f>AP82/AN82-1</f>
        <v>0.11478518757628642</v>
      </c>
      <c r="AQ83" s="474">
        <f>AQ82/AP82-1</f>
        <v>8.7818517446069277E-2</v>
      </c>
      <c r="AR83" s="474">
        <f>AR82/AQ82-1</f>
        <v>2.918056514469658E-2</v>
      </c>
      <c r="AS83" s="474">
        <f>AS82/AR82-1</f>
        <v>4.2149929278642251E-2</v>
      </c>
      <c r="AT83" s="165"/>
      <c r="AU83" s="474">
        <f>AU82/AS82-1</f>
        <v>4.8596246316116032E-2</v>
      </c>
      <c r="AV83" s="474">
        <f>AV82/AU82-1</f>
        <v>1.477745070485037E-2</v>
      </c>
      <c r="AW83" s="598">
        <f>AW82/AV82-1</f>
        <v>1.4518527156642591E-2</v>
      </c>
      <c r="AX83" s="474">
        <f>AX82/AW82-1</f>
        <v>3.3219345383488141E-2</v>
      </c>
      <c r="AY83" s="165"/>
      <c r="AZ83" s="474">
        <f>AZ82/AX82-1</f>
        <v>2.9803921568627434E-2</v>
      </c>
      <c r="BA83" s="474">
        <f>BA82/AZ82-1</f>
        <v>2.0000000000000018E-2</v>
      </c>
      <c r="BB83" s="474">
        <f>BB82/BA82-1</f>
        <v>2.0000000000000018E-2</v>
      </c>
      <c r="BC83" s="474">
        <f>BC82/BB82-1</f>
        <v>1.9999999999999796E-2</v>
      </c>
      <c r="BD83" s="165"/>
      <c r="BE83" s="165"/>
      <c r="BF83" s="165"/>
      <c r="BG83" s="165"/>
      <c r="BH83" s="89"/>
    </row>
    <row r="84" spans="1:60" s="416" customFormat="1" hidden="1" outlineLevel="1" x14ac:dyDescent="0.25">
      <c r="A84" s="186" t="s">
        <v>715</v>
      </c>
      <c r="B84" s="643"/>
      <c r="C84" s="165"/>
      <c r="D84" s="165"/>
      <c r="E84" s="165"/>
      <c r="F84" s="165"/>
      <c r="G84" s="474"/>
      <c r="H84" s="474"/>
      <c r="I84" s="474"/>
      <c r="J84" s="474"/>
      <c r="K84" s="165"/>
      <c r="L84" s="474"/>
      <c r="M84" s="474"/>
      <c r="N84" s="474"/>
      <c r="O84" s="474"/>
      <c r="P84" s="165"/>
      <c r="Q84" s="474"/>
      <c r="R84" s="474"/>
      <c r="S84" s="474"/>
      <c r="T84" s="474"/>
      <c r="U84" s="165"/>
      <c r="V84" s="474"/>
      <c r="W84" s="474"/>
      <c r="X84" s="474"/>
      <c r="Y84" s="474"/>
      <c r="Z84" s="165"/>
      <c r="AA84" s="474"/>
      <c r="AB84" s="474"/>
      <c r="AC84" s="474"/>
      <c r="AD84" s="474"/>
      <c r="AE84" s="165"/>
      <c r="AF84" s="474">
        <f t="shared" ref="AF84:BD84" si="59">AF82/AA82-1</f>
        <v>0.47463362643218754</v>
      </c>
      <c r="AG84" s="474">
        <f t="shared" si="59"/>
        <v>0.48481065334997919</v>
      </c>
      <c r="AH84" s="474">
        <f t="shared" si="59"/>
        <v>0.4711540632691309</v>
      </c>
      <c r="AI84" s="474">
        <f t="shared" si="59"/>
        <v>0.4581900323571908</v>
      </c>
      <c r="AJ84" s="165">
        <f t="shared" si="59"/>
        <v>0.47145343321284927</v>
      </c>
      <c r="AK84" s="474">
        <f t="shared" si="59"/>
        <v>0.45203548777623181</v>
      </c>
      <c r="AL84" s="474">
        <f t="shared" si="59"/>
        <v>0.43054273278818256</v>
      </c>
      <c r="AM84" s="474">
        <f t="shared" si="59"/>
        <v>0.40567587064294819</v>
      </c>
      <c r="AN84" s="474">
        <f t="shared" si="59"/>
        <v>0.38349568760990316</v>
      </c>
      <c r="AO84" s="165">
        <f t="shared" si="59"/>
        <v>0.41550437885176783</v>
      </c>
      <c r="AP84" s="474">
        <f t="shared" si="59"/>
        <v>0.3752115480338476</v>
      </c>
      <c r="AQ84" s="474">
        <f t="shared" si="59"/>
        <v>0.38545136047757889</v>
      </c>
      <c r="AR84" s="474">
        <f t="shared" si="59"/>
        <v>0.35094558001397624</v>
      </c>
      <c r="AS84" s="474">
        <f t="shared" si="59"/>
        <v>0.30067686844945674</v>
      </c>
      <c r="AT84" s="165">
        <f t="shared" si="59"/>
        <v>0.35083610918602304</v>
      </c>
      <c r="AU84" s="474">
        <f t="shared" si="59"/>
        <v>0.22345084696684525</v>
      </c>
      <c r="AV84" s="474">
        <f t="shared" si="59"/>
        <v>0.14130281075055939</v>
      </c>
      <c r="AW84" s="598">
        <f t="shared" si="59"/>
        <v>0.12504344311982218</v>
      </c>
      <c r="AX84" s="474">
        <f t="shared" si="59"/>
        <v>0.11540251279664959</v>
      </c>
      <c r="AY84" s="165">
        <f t="shared" si="59"/>
        <v>0.14901302043467646</v>
      </c>
      <c r="AZ84" s="474">
        <f t="shared" si="59"/>
        <v>9.5412925461887843E-2</v>
      </c>
      <c r="BA84" s="474">
        <f t="shared" si="59"/>
        <v>0.10105046500102022</v>
      </c>
      <c r="BB84" s="474">
        <f t="shared" si="59"/>
        <v>0.10699947239863206</v>
      </c>
      <c r="BC84" s="474">
        <f t="shared" si="59"/>
        <v>9.2836159999999834E-2</v>
      </c>
      <c r="BD84" s="165">
        <f t="shared" si="59"/>
        <v>9.90420381674606E-2</v>
      </c>
      <c r="BE84" s="165">
        <f>BE82/BD82-1</f>
        <v>0.11810112523419458</v>
      </c>
      <c r="BF84" s="165">
        <f>BF82/BE82-1</f>
        <v>0.14999999999999991</v>
      </c>
      <c r="BG84" s="165">
        <f>BG82/BF82-1</f>
        <v>0.15000000000000013</v>
      </c>
      <c r="BH84" s="648"/>
    </row>
    <row r="85" spans="1:60" s="753" customFormat="1" ht="7.5" hidden="1" customHeight="1" outlineLevel="1" x14ac:dyDescent="0.25">
      <c r="A85" s="807"/>
      <c r="B85" s="808"/>
      <c r="C85" s="547"/>
      <c r="D85" s="547"/>
      <c r="E85" s="547"/>
      <c r="F85" s="547"/>
      <c r="G85" s="483"/>
      <c r="H85" s="483"/>
      <c r="I85" s="483"/>
      <c r="J85" s="483"/>
      <c r="K85" s="547"/>
      <c r="L85" s="483"/>
      <c r="M85" s="483"/>
      <c r="N85" s="483"/>
      <c r="O85" s="483"/>
      <c r="P85" s="547"/>
      <c r="Q85" s="483"/>
      <c r="R85" s="483"/>
      <c r="S85" s="483"/>
      <c r="T85" s="483"/>
      <c r="U85" s="547"/>
      <c r="V85" s="483"/>
      <c r="W85" s="483"/>
      <c r="X85" s="483"/>
      <c r="Y85" s="483"/>
      <c r="Z85" s="547"/>
      <c r="AA85" s="483"/>
      <c r="AB85" s="483"/>
      <c r="AC85" s="483"/>
      <c r="AD85" s="483"/>
      <c r="AE85" s="547"/>
      <c r="AF85" s="483"/>
      <c r="AG85" s="483"/>
      <c r="AH85" s="483"/>
      <c r="AI85" s="483"/>
      <c r="AJ85" s="547"/>
      <c r="AK85" s="483"/>
      <c r="AL85" s="483"/>
      <c r="AM85" s="483"/>
      <c r="AN85" s="483"/>
      <c r="AO85" s="547"/>
      <c r="AP85" s="483"/>
      <c r="AQ85" s="483"/>
      <c r="AR85" s="483"/>
      <c r="AS85" s="483"/>
      <c r="AT85" s="547"/>
      <c r="AU85" s="483"/>
      <c r="AV85" s="483"/>
      <c r="AW85" s="571"/>
      <c r="AX85" s="810"/>
      <c r="AY85" s="809"/>
      <c r="AZ85" s="810"/>
      <c r="BA85" s="810"/>
      <c r="BB85" s="810"/>
      <c r="BC85" s="810"/>
      <c r="BD85" s="809"/>
      <c r="BE85" s="809"/>
      <c r="BF85" s="809"/>
      <c r="BG85" s="809"/>
      <c r="BH85" s="811"/>
    </row>
    <row r="86" spans="1:60" s="58" customFormat="1" hidden="1" outlineLevel="1" x14ac:dyDescent="0.25">
      <c r="A86" s="663" t="s">
        <v>620</v>
      </c>
      <c r="B86" s="491"/>
      <c r="C86" s="99"/>
      <c r="D86" s="99"/>
      <c r="E86" s="99"/>
      <c r="F86" s="99"/>
      <c r="G86" s="188"/>
      <c r="H86" s="188"/>
      <c r="I86" s="188"/>
      <c r="J86" s="188"/>
      <c r="K86" s="99"/>
      <c r="L86" s="188"/>
      <c r="M86" s="188"/>
      <c r="N86" s="188"/>
      <c r="O86" s="188"/>
      <c r="P86" s="99"/>
      <c r="Q86" s="188"/>
      <c r="R86" s="188"/>
      <c r="S86" s="188"/>
      <c r="T86" s="188"/>
      <c r="U86" s="99"/>
      <c r="V86" s="188"/>
      <c r="W86" s="188"/>
      <c r="X86" s="188"/>
      <c r="Y86" s="188"/>
      <c r="Z86" s="99"/>
      <c r="AA86" s="83">
        <v>8.57</v>
      </c>
      <c r="AB86" s="83">
        <v>8.6999999999999993</v>
      </c>
      <c r="AC86" s="83">
        <v>9.25</v>
      </c>
      <c r="AD86" s="83">
        <v>9.94</v>
      </c>
      <c r="AE86" s="18">
        <v>9.17</v>
      </c>
      <c r="AF86" s="83">
        <v>10.68</v>
      </c>
      <c r="AG86" s="83">
        <v>10.72</v>
      </c>
      <c r="AH86" s="83">
        <v>10.28</v>
      </c>
      <c r="AI86" s="83">
        <v>10.199999999999999</v>
      </c>
      <c r="AJ86" s="18">
        <v>10.45</v>
      </c>
      <c r="AK86" s="83">
        <v>10.23</v>
      </c>
      <c r="AL86" s="83">
        <v>10.130000000000001</v>
      </c>
      <c r="AM86" s="83">
        <v>10.4</v>
      </c>
      <c r="AN86" s="83">
        <v>10.51</v>
      </c>
      <c r="AO86" s="18">
        <v>10.33</v>
      </c>
      <c r="AP86" s="83">
        <v>10.4</v>
      </c>
      <c r="AQ86" s="83">
        <v>10.5</v>
      </c>
      <c r="AR86" s="83">
        <v>10.88</v>
      </c>
      <c r="AS86" s="83">
        <v>11.05</v>
      </c>
      <c r="AT86" s="18">
        <v>10.72</v>
      </c>
      <c r="AU86" s="83">
        <v>11.56</v>
      </c>
      <c r="AV86" s="83">
        <v>11.66</v>
      </c>
      <c r="AW86" s="641">
        <v>11.65</v>
      </c>
      <c r="AX86" s="83">
        <f>AW86*(1+AX87)</f>
        <v>11.70825</v>
      </c>
      <c r="AY86" s="18">
        <f>AVERAGE(AU86,AV86,AW86,AX86)</f>
        <v>11.644562499999999</v>
      </c>
      <c r="AZ86" s="83">
        <f>AX86*(1+AZ87)</f>
        <v>11.8253325</v>
      </c>
      <c r="BA86" s="83">
        <f>AZ86*(1+BA87)</f>
        <v>11.943585825</v>
      </c>
      <c r="BB86" s="83">
        <f>BA86*(1+BB87)</f>
        <v>12.06302168325</v>
      </c>
      <c r="BC86" s="83">
        <f>BB86*(1+BC87)</f>
        <v>12.1836519000825</v>
      </c>
      <c r="BD86" s="18">
        <f>AVERAGE(AZ86,BA86,BB86,BC86)</f>
        <v>12.003897977083126</v>
      </c>
      <c r="BE86" s="18">
        <f>+BD86*(1+BE89)</f>
        <v>12.484053896166451</v>
      </c>
      <c r="BF86" s="18">
        <f>+BE86*(1+BF89)</f>
        <v>12.983416052013109</v>
      </c>
      <c r="BG86" s="18">
        <f>+BF86*(1+BG89)</f>
        <v>13.502752694093633</v>
      </c>
      <c r="BH86" s="83"/>
    </row>
    <row r="87" spans="1:60" s="58" customFormat="1" hidden="1" outlineLevel="1" x14ac:dyDescent="0.25">
      <c r="A87" s="666" t="s">
        <v>622</v>
      </c>
      <c r="B87" s="667"/>
      <c r="C87" s="796"/>
      <c r="D87" s="796"/>
      <c r="E87" s="796"/>
      <c r="F87" s="796"/>
      <c r="G87" s="163"/>
      <c r="H87" s="163"/>
      <c r="I87" s="163"/>
      <c r="J87" s="163"/>
      <c r="K87" s="796"/>
      <c r="L87" s="163"/>
      <c r="M87" s="163"/>
      <c r="N87" s="163"/>
      <c r="O87" s="163"/>
      <c r="P87" s="796"/>
      <c r="Q87" s="163"/>
      <c r="R87" s="163"/>
      <c r="S87" s="163"/>
      <c r="T87" s="163"/>
      <c r="U87" s="796"/>
      <c r="V87" s="163"/>
      <c r="W87" s="163"/>
      <c r="X87" s="163"/>
      <c r="Y87" s="163"/>
      <c r="Z87" s="796"/>
      <c r="AA87" s="163"/>
      <c r="AB87" s="648">
        <f>AB86/AA86-1</f>
        <v>1.5169194865810809E-2</v>
      </c>
      <c r="AC87" s="648">
        <f>AC86/AB86-1</f>
        <v>6.321839080459779E-2</v>
      </c>
      <c r="AD87" s="648">
        <f>AD86/AC86-1</f>
        <v>7.4594594594594499E-2</v>
      </c>
      <c r="AE87" s="796"/>
      <c r="AF87" s="648">
        <f>AF86/AD86-1</f>
        <v>7.444668008048283E-2</v>
      </c>
      <c r="AG87" s="648">
        <f>AG86/AF86-1</f>
        <v>3.7453183520599342E-3</v>
      </c>
      <c r="AH87" s="648">
        <f>AH86/AG86-1</f>
        <v>-4.1044776119403048E-2</v>
      </c>
      <c r="AI87" s="648">
        <f>AI86/AH86-1</f>
        <v>-7.7821011673151474E-3</v>
      </c>
      <c r="AJ87" s="796"/>
      <c r="AK87" s="648">
        <f>AK86/AI86-1</f>
        <v>2.9411764705884469E-3</v>
      </c>
      <c r="AL87" s="648">
        <f>AL86/AK86-1</f>
        <v>-9.7751710654936375E-3</v>
      </c>
      <c r="AM87" s="648">
        <f>AM86/AL86-1</f>
        <v>2.6653504442250675E-2</v>
      </c>
      <c r="AN87" s="648">
        <f>AN86/AM86-1</f>
        <v>1.0576923076923039E-2</v>
      </c>
      <c r="AO87" s="796"/>
      <c r="AP87" s="648">
        <f>AP86/AN86-1</f>
        <v>-1.0466222645099887E-2</v>
      </c>
      <c r="AQ87" s="648">
        <f>AQ86/AP86-1</f>
        <v>9.6153846153845812E-3</v>
      </c>
      <c r="AR87" s="648">
        <f>AR86/AQ86-1</f>
        <v>3.6190476190476328E-2</v>
      </c>
      <c r="AS87" s="648">
        <f>AS86/AR86-1</f>
        <v>1.5625E-2</v>
      </c>
      <c r="AT87" s="796"/>
      <c r="AU87" s="648">
        <f>AU86/AS86-1</f>
        <v>4.6153846153846212E-2</v>
      </c>
      <c r="AV87" s="648">
        <f>AV86/AU86-1</f>
        <v>8.65051903114189E-3</v>
      </c>
      <c r="AW87" s="652">
        <f>AW86/AV86-1</f>
        <v>-8.5763293310459066E-4</v>
      </c>
      <c r="AX87" s="653">
        <v>5.0000000000000001E-3</v>
      </c>
      <c r="AY87" s="796"/>
      <c r="AZ87" s="653">
        <v>0.01</v>
      </c>
      <c r="BA87" s="653">
        <v>0.01</v>
      </c>
      <c r="BB87" s="653">
        <v>0.01</v>
      </c>
      <c r="BC87" s="653">
        <v>0.01</v>
      </c>
      <c r="BD87" s="796"/>
      <c r="BE87" s="796"/>
      <c r="BF87" s="796"/>
      <c r="BG87" s="796"/>
      <c r="BH87" s="83"/>
    </row>
    <row r="88" spans="1:60" s="649" customFormat="1" hidden="1" outlineLevel="1" x14ac:dyDescent="0.25">
      <c r="A88" s="151" t="s">
        <v>662</v>
      </c>
      <c r="B88" s="654"/>
      <c r="C88" s="796"/>
      <c r="D88" s="796"/>
      <c r="E88" s="796"/>
      <c r="F88" s="796"/>
      <c r="G88" s="163"/>
      <c r="H88" s="163"/>
      <c r="I88" s="163"/>
      <c r="J88" s="163"/>
      <c r="K88" s="796"/>
      <c r="L88" s="163"/>
      <c r="M88" s="163"/>
      <c r="N88" s="163"/>
      <c r="O88" s="163"/>
      <c r="P88" s="796"/>
      <c r="Q88" s="163"/>
      <c r="R88" s="163"/>
      <c r="S88" s="163"/>
      <c r="T88" s="163"/>
      <c r="U88" s="796"/>
      <c r="V88" s="163"/>
      <c r="W88" s="163"/>
      <c r="X88" s="163"/>
      <c r="Y88" s="163"/>
      <c r="Z88" s="796"/>
      <c r="AA88" s="648">
        <v>0.11</v>
      </c>
      <c r="AB88" s="648">
        <v>0.08</v>
      </c>
      <c r="AC88" s="648">
        <v>0.05</v>
      </c>
      <c r="AD88" s="648">
        <v>0.09</v>
      </c>
      <c r="AE88" s="817">
        <v>0.08</v>
      </c>
      <c r="AF88" s="648">
        <v>0.11</v>
      </c>
      <c r="AG88" s="648">
        <v>0.11</v>
      </c>
      <c r="AH88" s="648">
        <v>0.1</v>
      </c>
      <c r="AI88" s="648">
        <v>0.06</v>
      </c>
      <c r="AJ88" s="817">
        <v>0.09</v>
      </c>
      <c r="AK88" s="648">
        <v>0.02</v>
      </c>
      <c r="AL88" s="648">
        <v>0.03</v>
      </c>
      <c r="AM88" s="648">
        <v>0.06</v>
      </c>
      <c r="AN88" s="648">
        <v>7.0000000000000007E-2</v>
      </c>
      <c r="AO88" s="817">
        <v>0.04</v>
      </c>
      <c r="AP88" s="648">
        <v>0.04</v>
      </c>
      <c r="AQ88" s="648">
        <v>0.08</v>
      </c>
      <c r="AR88" s="648">
        <v>0.03</v>
      </c>
      <c r="AS88" s="648">
        <v>0</v>
      </c>
      <c r="AT88" s="817">
        <v>0.03</v>
      </c>
      <c r="AU88" s="648">
        <v>0.04</v>
      </c>
      <c r="AV88" s="648">
        <v>0.02</v>
      </c>
      <c r="AW88" s="652">
        <v>0.03</v>
      </c>
      <c r="AX88" s="163"/>
      <c r="AY88" s="796"/>
      <c r="AZ88" s="163"/>
      <c r="BA88" s="163"/>
      <c r="BB88" s="163"/>
      <c r="BC88" s="163"/>
      <c r="BD88" s="796"/>
      <c r="BE88" s="796"/>
      <c r="BF88" s="796"/>
      <c r="BG88" s="796"/>
      <c r="BH88" s="648"/>
    </row>
    <row r="89" spans="1:60" s="649" customFormat="1" hidden="1" outlineLevel="1" x14ac:dyDescent="0.25">
      <c r="A89" s="664" t="s">
        <v>621</v>
      </c>
      <c r="B89" s="643"/>
      <c r="C89" s="165"/>
      <c r="D89" s="165"/>
      <c r="E89" s="165"/>
      <c r="F89" s="165"/>
      <c r="G89" s="474"/>
      <c r="H89" s="474"/>
      <c r="I89" s="474"/>
      <c r="J89" s="474"/>
      <c r="K89" s="165"/>
      <c r="L89" s="474"/>
      <c r="M89" s="474"/>
      <c r="N89" s="474"/>
      <c r="O89" s="474"/>
      <c r="P89" s="165"/>
      <c r="Q89" s="474"/>
      <c r="R89" s="474"/>
      <c r="S89" s="474"/>
      <c r="T89" s="474"/>
      <c r="U89" s="165"/>
      <c r="V89" s="474"/>
      <c r="W89" s="474"/>
      <c r="X89" s="474"/>
      <c r="Y89" s="474"/>
      <c r="Z89" s="165"/>
      <c r="AA89" s="474"/>
      <c r="AB89" s="474"/>
      <c r="AC89" s="474"/>
      <c r="AD89" s="474"/>
      <c r="AE89" s="165"/>
      <c r="AF89" s="474">
        <f t="shared" ref="AF89:BD89" si="60">+AF86/AA86-1</f>
        <v>0.24620770128354708</v>
      </c>
      <c r="AG89" s="474">
        <f t="shared" si="60"/>
        <v>0.23218390804597711</v>
      </c>
      <c r="AH89" s="474">
        <f t="shared" si="60"/>
        <v>0.11135135135135132</v>
      </c>
      <c r="AI89" s="474">
        <f t="shared" si="60"/>
        <v>2.6156941649899457E-2</v>
      </c>
      <c r="AJ89" s="165">
        <f t="shared" si="60"/>
        <v>0.13958560523446017</v>
      </c>
      <c r="AK89" s="474">
        <f t="shared" si="60"/>
        <v>-4.2134831460674094E-2</v>
      </c>
      <c r="AL89" s="474">
        <f t="shared" si="60"/>
        <v>-5.5037313432835799E-2</v>
      </c>
      <c r="AM89" s="474">
        <f t="shared" si="60"/>
        <v>1.1673151750972943E-2</v>
      </c>
      <c r="AN89" s="474">
        <f t="shared" si="60"/>
        <v>3.0392156862745212E-2</v>
      </c>
      <c r="AO89" s="165">
        <f t="shared" si="60"/>
        <v>-1.1483253588516651E-2</v>
      </c>
      <c r="AP89" s="474">
        <f t="shared" si="60"/>
        <v>1.6617790811339184E-2</v>
      </c>
      <c r="AQ89" s="474">
        <f t="shared" si="60"/>
        <v>3.6525172754195312E-2</v>
      </c>
      <c r="AR89" s="474">
        <f t="shared" si="60"/>
        <v>4.6153846153846212E-2</v>
      </c>
      <c r="AS89" s="474">
        <f t="shared" si="60"/>
        <v>5.1379638439581488E-2</v>
      </c>
      <c r="AT89" s="165">
        <f t="shared" si="60"/>
        <v>3.7754114230396985E-2</v>
      </c>
      <c r="AU89" s="474">
        <f t="shared" si="60"/>
        <v>0.11153846153846159</v>
      </c>
      <c r="AV89" s="474">
        <f t="shared" si="60"/>
        <v>0.11047619047619039</v>
      </c>
      <c r="AW89" s="598">
        <f t="shared" si="60"/>
        <v>7.0772058823529438E-2</v>
      </c>
      <c r="AX89" s="436">
        <f t="shared" si="60"/>
        <v>5.9570135746606301E-2</v>
      </c>
      <c r="AY89" s="435">
        <f t="shared" si="60"/>
        <v>8.624650186567151E-2</v>
      </c>
      <c r="AZ89" s="436">
        <f t="shared" si="60"/>
        <v>2.2952638408304527E-2</v>
      </c>
      <c r="BA89" s="436">
        <f t="shared" si="60"/>
        <v>2.4321254288164562E-2</v>
      </c>
      <c r="BB89" s="436">
        <f t="shared" si="60"/>
        <v>3.5452504999999856E-2</v>
      </c>
      <c r="BC89" s="436">
        <f t="shared" si="60"/>
        <v>4.0604010000000024E-2</v>
      </c>
      <c r="BD89" s="435">
        <f t="shared" si="60"/>
        <v>3.0858649870540544E-2</v>
      </c>
      <c r="BE89" s="438">
        <v>0.04</v>
      </c>
      <c r="BF89" s="438">
        <v>0.04</v>
      </c>
      <c r="BG89" s="438">
        <v>0.04</v>
      </c>
      <c r="BH89" s="648"/>
    </row>
    <row r="90" spans="1:60" s="753" customFormat="1" ht="7.5" hidden="1" customHeight="1" outlineLevel="1" x14ac:dyDescent="0.25">
      <c r="A90" s="807"/>
      <c r="B90" s="808"/>
      <c r="C90" s="547"/>
      <c r="D90" s="547"/>
      <c r="E90" s="547"/>
      <c r="F90" s="547"/>
      <c r="G90" s="483"/>
      <c r="H90" s="483"/>
      <c r="I90" s="483"/>
      <c r="J90" s="483"/>
      <c r="K90" s="547"/>
      <c r="L90" s="483"/>
      <c r="M90" s="483"/>
      <c r="N90" s="483"/>
      <c r="O90" s="483"/>
      <c r="P90" s="547"/>
      <c r="Q90" s="483"/>
      <c r="R90" s="483"/>
      <c r="S90" s="483"/>
      <c r="T90" s="483"/>
      <c r="U90" s="547"/>
      <c r="V90" s="483"/>
      <c r="W90" s="483"/>
      <c r="X90" s="483"/>
      <c r="Y90" s="483"/>
      <c r="Z90" s="547"/>
      <c r="AA90" s="483"/>
      <c r="AB90" s="483"/>
      <c r="AC90" s="483"/>
      <c r="AD90" s="483"/>
      <c r="AE90" s="547"/>
      <c r="AF90" s="483"/>
      <c r="AG90" s="483"/>
      <c r="AH90" s="483"/>
      <c r="AI90" s="483"/>
      <c r="AJ90" s="547"/>
      <c r="AK90" s="483"/>
      <c r="AL90" s="483"/>
      <c r="AM90" s="483"/>
      <c r="AN90" s="483"/>
      <c r="AO90" s="547"/>
      <c r="AP90" s="483"/>
      <c r="AQ90" s="483"/>
      <c r="AR90" s="483"/>
      <c r="AS90" s="483"/>
      <c r="AT90" s="547"/>
      <c r="AU90" s="483"/>
      <c r="AV90" s="483"/>
      <c r="AW90" s="571"/>
      <c r="AX90" s="810"/>
      <c r="AY90" s="809"/>
      <c r="AZ90" s="810"/>
      <c r="BA90" s="810"/>
      <c r="BB90" s="810"/>
      <c r="BC90" s="810"/>
      <c r="BD90" s="809"/>
      <c r="BE90" s="809"/>
      <c r="BF90" s="809"/>
      <c r="BG90" s="809"/>
      <c r="BH90" s="811"/>
    </row>
    <row r="91" spans="1:60" s="58" customFormat="1" hidden="1" outlineLevel="1" x14ac:dyDescent="0.25">
      <c r="A91" s="61" t="s">
        <v>623</v>
      </c>
      <c r="B91" s="492"/>
      <c r="C91" s="869"/>
      <c r="D91" s="869"/>
      <c r="E91" s="869"/>
      <c r="F91" s="869"/>
      <c r="G91" s="870"/>
      <c r="H91" s="870"/>
      <c r="I91" s="870"/>
      <c r="J91" s="870"/>
      <c r="K91" s="869"/>
      <c r="L91" s="870"/>
      <c r="M91" s="870"/>
      <c r="N91" s="870"/>
      <c r="O91" s="870"/>
      <c r="P91" s="869"/>
      <c r="Q91" s="870"/>
      <c r="R91" s="870"/>
      <c r="S91" s="870"/>
      <c r="T91" s="870"/>
      <c r="U91" s="869"/>
      <c r="V91" s="870"/>
      <c r="W91" s="870"/>
      <c r="X91" s="870"/>
      <c r="Y91" s="870"/>
      <c r="Z91" s="869"/>
      <c r="AA91" s="871">
        <v>482.28199999999998</v>
      </c>
      <c r="AB91" s="871">
        <v>533.09799999999996</v>
      </c>
      <c r="AC91" s="871">
        <v>614.70699999999999</v>
      </c>
      <c r="AD91" s="871">
        <v>732.726</v>
      </c>
      <c r="AE91" s="872">
        <v>2362.8130000000001</v>
      </c>
      <c r="AF91" s="871">
        <v>886.649</v>
      </c>
      <c r="AG91" s="871">
        <v>975.49699999999996</v>
      </c>
      <c r="AH91" s="871">
        <v>1004.749</v>
      </c>
      <c r="AI91" s="871">
        <v>1096.8119999999999</v>
      </c>
      <c r="AJ91" s="872">
        <v>3963.7069999999999</v>
      </c>
      <c r="AK91" s="871">
        <v>1233.3789999999999</v>
      </c>
      <c r="AL91" s="871">
        <v>1319.087</v>
      </c>
      <c r="AM91" s="871">
        <v>1428.04</v>
      </c>
      <c r="AN91" s="871">
        <v>1562.5609999999999</v>
      </c>
      <c r="AO91" s="872">
        <v>5543.067</v>
      </c>
      <c r="AP91" s="871">
        <v>1723.4739999999999</v>
      </c>
      <c r="AQ91" s="871">
        <v>1892.537</v>
      </c>
      <c r="AR91" s="871">
        <v>2019.0830000000001</v>
      </c>
      <c r="AS91" s="871">
        <f>AT91-SUM(AP91,AQ91,AR91)</f>
        <v>2137.1580000000004</v>
      </c>
      <c r="AT91" s="872">
        <v>7772.2520000000004</v>
      </c>
      <c r="AU91" s="871">
        <v>2343.674</v>
      </c>
      <c r="AV91" s="871">
        <v>2400.48</v>
      </c>
      <c r="AW91" s="873">
        <v>2432.239</v>
      </c>
      <c r="AX91" s="871">
        <f>AX82*AX86*3/1000</f>
        <v>2525.8207724999997</v>
      </c>
      <c r="AY91" s="872">
        <f>SUM(AU91,AV91,AW91,AX91)</f>
        <v>9702.2137724999993</v>
      </c>
      <c r="AZ91" s="871">
        <f>AZ82*AZ86*3/1000</f>
        <v>2627.1111380669995</v>
      </c>
      <c r="BA91" s="871">
        <f>BA82*BA86*3/1000</f>
        <v>2706.4498944366228</v>
      </c>
      <c r="BB91" s="871">
        <f>BB82*BB86*3/1000</f>
        <v>2788.1846812486096</v>
      </c>
      <c r="BC91" s="871">
        <f>BC82*BC86*3/1000</f>
        <v>2872.3878586223168</v>
      </c>
      <c r="BD91" s="872">
        <f>SUM(AZ91,BA91,BB91,BC91)</f>
        <v>10994.133572374549</v>
      </c>
      <c r="BE91" s="872">
        <f>BE82*BE86*12/1000</f>
        <v>12781.107527142145</v>
      </c>
      <c r="BF91" s="872">
        <f>BF82*BF86*12/1000</f>
        <v>15286.204602462005</v>
      </c>
      <c r="BG91" s="872">
        <f>BG82*BG86*12/1000</f>
        <v>18282.300704544559</v>
      </c>
      <c r="BH91" s="824"/>
    </row>
    <row r="92" spans="1:60" s="58" customFormat="1" hidden="1" outlineLevel="1" x14ac:dyDescent="0.25">
      <c r="A92" s="838" t="s">
        <v>625</v>
      </c>
      <c r="B92" s="665"/>
      <c r="C92" s="796"/>
      <c r="D92" s="796"/>
      <c r="E92" s="796"/>
      <c r="F92" s="796"/>
      <c r="G92" s="163"/>
      <c r="H92" s="163"/>
      <c r="I92" s="163"/>
      <c r="J92" s="163"/>
      <c r="K92" s="796"/>
      <c r="L92" s="163"/>
      <c r="M92" s="163"/>
      <c r="N92" s="163"/>
      <c r="O92" s="163"/>
      <c r="P92" s="796"/>
      <c r="Q92" s="163"/>
      <c r="R92" s="163"/>
      <c r="S92" s="163"/>
      <c r="T92" s="163"/>
      <c r="U92" s="796"/>
      <c r="V92" s="163"/>
      <c r="W92" s="163"/>
      <c r="X92" s="163"/>
      <c r="Y92" s="163"/>
      <c r="Z92" s="796"/>
      <c r="AA92" s="163"/>
      <c r="AB92" s="648">
        <f>AB91/AA91-1</f>
        <v>0.10536574037596247</v>
      </c>
      <c r="AC92" s="648">
        <f>AC91/AB91-1</f>
        <v>0.15308442350187024</v>
      </c>
      <c r="AD92" s="648">
        <f>AD91/AC91-1</f>
        <v>0.19199228250207012</v>
      </c>
      <c r="AE92" s="796"/>
      <c r="AF92" s="648">
        <f>AF91/AD91-1</f>
        <v>0.2100689753059124</v>
      </c>
      <c r="AG92" s="648">
        <f>AG91/AF91-1</f>
        <v>0.10020650787402907</v>
      </c>
      <c r="AH92" s="648">
        <f>AH91/AG91-1</f>
        <v>2.9986765720448227E-2</v>
      </c>
      <c r="AI92" s="648">
        <f>AI91/AH91-1</f>
        <v>9.1627859296202319E-2</v>
      </c>
      <c r="AJ92" s="796"/>
      <c r="AK92" s="648">
        <f>AK91/AI91-1</f>
        <v>0.12451267856296244</v>
      </c>
      <c r="AL92" s="648">
        <f>AL91/AK91-1</f>
        <v>6.9490399950056014E-2</v>
      </c>
      <c r="AM92" s="648">
        <f>AM91/AL91-1</f>
        <v>8.2597281301384884E-2</v>
      </c>
      <c r="AN92" s="648">
        <f>AN91/AM91-1</f>
        <v>9.4199742304137191E-2</v>
      </c>
      <c r="AO92" s="796"/>
      <c r="AP92" s="648">
        <f>AP91/AN91-1</f>
        <v>0.1029802996491016</v>
      </c>
      <c r="AQ92" s="648">
        <f>AQ91/AP91-1</f>
        <v>9.8094314158496232E-2</v>
      </c>
      <c r="AR92" s="648">
        <f>AR91/AQ91-1</f>
        <v>6.6865799717522156E-2</v>
      </c>
      <c r="AS92" s="648">
        <f>AS91/AR91-1</f>
        <v>5.8479517682036963E-2</v>
      </c>
      <c r="AT92" s="796"/>
      <c r="AU92" s="648">
        <f>AU91/AS91-1</f>
        <v>9.6631133495979071E-2</v>
      </c>
      <c r="AV92" s="648">
        <f>AV91/AU91-1</f>
        <v>2.4238012624622662E-2</v>
      </c>
      <c r="AW92" s="652">
        <f>AW91/AV91-1</f>
        <v>1.3230270612544226E-2</v>
      </c>
      <c r="AX92" s="648">
        <f>AX91/AW91-1</f>
        <v>3.8475566134742456E-2</v>
      </c>
      <c r="AY92" s="796"/>
      <c r="AZ92" s="648">
        <f>AZ91/AX91-1</f>
        <v>4.0101960784313606E-2</v>
      </c>
      <c r="BA92" s="648">
        <f>BA91/AZ91-1</f>
        <v>3.0200000000000005E-2</v>
      </c>
      <c r="BB92" s="648">
        <f>BB91/BA91-1</f>
        <v>3.0200000000000227E-2</v>
      </c>
      <c r="BC92" s="648">
        <f>BC91/BB91-1</f>
        <v>3.0199999999999783E-2</v>
      </c>
      <c r="BD92" s="796"/>
      <c r="BE92" s="796"/>
      <c r="BF92" s="796"/>
      <c r="BG92" s="796"/>
      <c r="BH92" s="824"/>
    </row>
    <row r="93" spans="1:60" s="649" customFormat="1" hidden="1" outlineLevel="1" x14ac:dyDescent="0.25">
      <c r="A93" s="838" t="s">
        <v>624</v>
      </c>
      <c r="B93" s="643"/>
      <c r="C93" s="165"/>
      <c r="D93" s="165"/>
      <c r="E93" s="165"/>
      <c r="F93" s="165"/>
      <c r="G93" s="474"/>
      <c r="H93" s="474"/>
      <c r="I93" s="474"/>
      <c r="J93" s="474"/>
      <c r="K93" s="165"/>
      <c r="L93" s="474"/>
      <c r="M93" s="474"/>
      <c r="N93" s="474"/>
      <c r="O93" s="474"/>
      <c r="P93" s="165"/>
      <c r="Q93" s="474"/>
      <c r="R93" s="474"/>
      <c r="S93" s="474"/>
      <c r="T93" s="474"/>
      <c r="U93" s="165"/>
      <c r="V93" s="474"/>
      <c r="W93" s="474"/>
      <c r="X93" s="474"/>
      <c r="Y93" s="474"/>
      <c r="Z93" s="165"/>
      <c r="AA93" s="474"/>
      <c r="AB93" s="474"/>
      <c r="AC93" s="474"/>
      <c r="AD93" s="474"/>
      <c r="AE93" s="165"/>
      <c r="AF93" s="436">
        <f t="shared" ref="AF93:BD93" si="61">+AF91/AA91-1</f>
        <v>0.83844514205381926</v>
      </c>
      <c r="AG93" s="436">
        <f t="shared" si="61"/>
        <v>0.82986430262353261</v>
      </c>
      <c r="AH93" s="436">
        <f t="shared" si="61"/>
        <v>0.63451693245725194</v>
      </c>
      <c r="AI93" s="436">
        <f t="shared" si="61"/>
        <v>0.49689242636401598</v>
      </c>
      <c r="AJ93" s="435">
        <f t="shared" si="61"/>
        <v>0.67753732521363297</v>
      </c>
      <c r="AK93" s="436">
        <f t="shared" si="61"/>
        <v>0.39105666391097249</v>
      </c>
      <c r="AL93" s="436">
        <f t="shared" si="61"/>
        <v>0.35222045787941947</v>
      </c>
      <c r="AM93" s="436">
        <f t="shared" si="61"/>
        <v>0.42129029240138571</v>
      </c>
      <c r="AN93" s="436">
        <f t="shared" si="61"/>
        <v>0.42463886244862392</v>
      </c>
      <c r="AO93" s="435">
        <f t="shared" si="61"/>
        <v>0.39845528440926636</v>
      </c>
      <c r="AP93" s="436">
        <f t="shared" si="61"/>
        <v>0.39735961127925812</v>
      </c>
      <c r="AQ93" s="436">
        <f t="shared" si="61"/>
        <v>0.43473250816663356</v>
      </c>
      <c r="AR93" s="436">
        <f t="shared" si="61"/>
        <v>0.41388406487213247</v>
      </c>
      <c r="AS93" s="436">
        <f t="shared" si="61"/>
        <v>0.3677277239096588</v>
      </c>
      <c r="AT93" s="435">
        <f t="shared" si="61"/>
        <v>0.4021573255383708</v>
      </c>
      <c r="AU93" s="436">
        <f t="shared" si="61"/>
        <v>0.35985457279889355</v>
      </c>
      <c r="AV93" s="436">
        <f t="shared" si="61"/>
        <v>0.26839263908710898</v>
      </c>
      <c r="AW93" s="596">
        <f t="shared" si="61"/>
        <v>0.20462556516993113</v>
      </c>
      <c r="AX93" s="436">
        <f t="shared" si="61"/>
        <v>0.18185963438360631</v>
      </c>
      <c r="AY93" s="435">
        <f t="shared" si="61"/>
        <v>0.24831435888851772</v>
      </c>
      <c r="AZ93" s="436">
        <f t="shared" si="61"/>
        <v>0.12093710049563189</v>
      </c>
      <c r="BA93" s="436">
        <f t="shared" si="61"/>
        <v>0.12746196362253492</v>
      </c>
      <c r="BB93" s="436">
        <f t="shared" si="61"/>
        <v>0.14634486218196874</v>
      </c>
      <c r="BC93" s="436">
        <f t="shared" si="61"/>
        <v>0.13720969036900144</v>
      </c>
      <c r="BD93" s="435">
        <f t="shared" si="61"/>
        <v>0.13315721856555807</v>
      </c>
      <c r="BE93" s="435">
        <f>+BE91/BD91-1</f>
        <v>0.16253886156684549</v>
      </c>
      <c r="BF93" s="435">
        <f>+BF91/BE91-1</f>
        <v>0.19599999999999995</v>
      </c>
      <c r="BG93" s="435">
        <f>+BG91/BF91-1</f>
        <v>0.19600000000000017</v>
      </c>
      <c r="BH93" s="648"/>
    </row>
    <row r="94" spans="1:60" s="57" customFormat="1" collapsed="1" x14ac:dyDescent="0.25">
      <c r="A94" s="481"/>
      <c r="B94" s="482"/>
      <c r="C94" s="547"/>
      <c r="D94" s="547"/>
      <c r="E94" s="547"/>
      <c r="F94" s="547"/>
      <c r="G94" s="483"/>
      <c r="H94" s="483"/>
      <c r="I94" s="483"/>
      <c r="J94" s="483"/>
      <c r="K94" s="547"/>
      <c r="L94" s="483"/>
      <c r="M94" s="483"/>
      <c r="N94" s="483"/>
      <c r="O94" s="483"/>
      <c r="P94" s="547"/>
      <c r="Q94" s="483"/>
      <c r="R94" s="483"/>
      <c r="S94" s="483"/>
      <c r="T94" s="483"/>
      <c r="U94" s="547"/>
      <c r="V94" s="483"/>
      <c r="W94" s="483"/>
      <c r="X94" s="483"/>
      <c r="Y94" s="483"/>
      <c r="Z94" s="547"/>
      <c r="AA94" s="483"/>
      <c r="AB94" s="483"/>
      <c r="AC94" s="483"/>
      <c r="AD94" s="483"/>
      <c r="AE94" s="547"/>
      <c r="AF94" s="483"/>
      <c r="AG94" s="483"/>
      <c r="AH94" s="483"/>
      <c r="AI94" s="483"/>
      <c r="AJ94" s="547"/>
      <c r="AK94" s="483"/>
      <c r="AL94" s="483"/>
      <c r="AM94" s="483"/>
      <c r="AN94" s="483"/>
      <c r="AO94" s="547"/>
      <c r="AP94" s="483"/>
      <c r="AQ94" s="483"/>
      <c r="AR94" s="483"/>
      <c r="AS94" s="483"/>
      <c r="AT94" s="547"/>
      <c r="AU94" s="483"/>
      <c r="AV94" s="483"/>
      <c r="AW94" s="571"/>
      <c r="AX94" s="483"/>
      <c r="AY94" s="547"/>
      <c r="AZ94" s="483"/>
      <c r="BA94" s="483"/>
      <c r="BB94" s="483"/>
      <c r="BC94" s="483"/>
      <c r="BD94" s="547"/>
      <c r="BE94" s="547"/>
      <c r="BF94" s="547"/>
      <c r="BG94" s="547"/>
      <c r="BH94" s="383"/>
    </row>
    <row r="95" spans="1:60" s="57" customFormat="1" x14ac:dyDescent="0.25">
      <c r="A95" s="819" t="s">
        <v>626</v>
      </c>
      <c r="B95" s="819"/>
      <c r="C95" s="861"/>
      <c r="D95" s="861"/>
      <c r="E95" s="861"/>
      <c r="F95" s="861"/>
      <c r="G95" s="861"/>
      <c r="H95" s="861"/>
      <c r="I95" s="861"/>
      <c r="J95" s="861"/>
      <c r="K95" s="861"/>
      <c r="L95" s="861"/>
      <c r="M95" s="861"/>
      <c r="N95" s="861"/>
      <c r="O95" s="861"/>
      <c r="P95" s="861"/>
      <c r="Q95" s="861"/>
      <c r="R95" s="861"/>
      <c r="S95" s="861"/>
      <c r="T95" s="861"/>
      <c r="U95" s="861"/>
      <c r="V95" s="861"/>
      <c r="W95" s="861"/>
      <c r="X95" s="861"/>
      <c r="Y95" s="861"/>
      <c r="Z95" s="861"/>
      <c r="AA95" s="861"/>
      <c r="AB95" s="861"/>
      <c r="AC95" s="861"/>
      <c r="AD95" s="861"/>
      <c r="AE95" s="861"/>
      <c r="AF95" s="861"/>
      <c r="AG95" s="861"/>
      <c r="AH95" s="861"/>
      <c r="AI95" s="861"/>
      <c r="AJ95" s="861"/>
      <c r="AK95" s="861"/>
      <c r="AL95" s="861"/>
      <c r="AM95" s="861"/>
      <c r="AN95" s="861"/>
      <c r="AO95" s="861"/>
      <c r="AP95" s="861"/>
      <c r="AQ95" s="861"/>
      <c r="AR95" s="861"/>
      <c r="AS95" s="861"/>
      <c r="AT95" s="861"/>
      <c r="AU95" s="861"/>
      <c r="AV95" s="861"/>
      <c r="AW95" s="862"/>
      <c r="AX95" s="861"/>
      <c r="AY95" s="861"/>
      <c r="AZ95" s="861"/>
      <c r="BA95" s="861"/>
      <c r="BB95" s="861"/>
      <c r="BC95" s="861"/>
      <c r="BD95" s="861"/>
      <c r="BE95" s="861"/>
      <c r="BF95" s="861"/>
      <c r="BG95" s="861"/>
      <c r="BH95" s="824"/>
    </row>
    <row r="96" spans="1:60" s="58" customFormat="1" hidden="1" outlineLevel="1" x14ac:dyDescent="0.25">
      <c r="A96" s="379" t="s">
        <v>743</v>
      </c>
      <c r="B96" s="487"/>
      <c r="C96" s="400"/>
      <c r="D96" s="400"/>
      <c r="E96" s="400"/>
      <c r="F96" s="400"/>
      <c r="G96" s="399"/>
      <c r="H96" s="399"/>
      <c r="I96" s="399"/>
      <c r="J96" s="399"/>
      <c r="K96" s="400"/>
      <c r="L96" s="399"/>
      <c r="M96" s="399"/>
      <c r="N96" s="399"/>
      <c r="O96" s="399"/>
      <c r="P96" s="400"/>
      <c r="Q96" s="399"/>
      <c r="R96" s="399"/>
      <c r="S96" s="399"/>
      <c r="T96" s="399"/>
      <c r="U96" s="400"/>
      <c r="V96" s="399"/>
      <c r="W96" s="399"/>
      <c r="X96" s="399"/>
      <c r="Y96" s="399"/>
      <c r="Z96" s="400"/>
      <c r="AA96" s="399">
        <f>AA102*2-AA98</f>
        <v>14209</v>
      </c>
      <c r="AB96" s="399">
        <f>AA98</f>
        <v>15425</v>
      </c>
      <c r="AC96" s="399">
        <f>AB98</f>
        <v>17013</v>
      </c>
      <c r="AD96" s="399">
        <f>AC98</f>
        <v>18267</v>
      </c>
      <c r="AE96" s="400">
        <f>AA96</f>
        <v>14209</v>
      </c>
      <c r="AF96" s="89">
        <f>AE98</f>
        <v>19717</v>
      </c>
      <c r="AG96" s="89">
        <f>AF98</f>
        <v>21260</v>
      </c>
      <c r="AH96" s="89">
        <f>AG98</f>
        <v>22795</v>
      </c>
      <c r="AI96" s="89">
        <f>AH98</f>
        <v>24115</v>
      </c>
      <c r="AJ96" s="377">
        <f>AE98</f>
        <v>19717</v>
      </c>
      <c r="AK96" s="89">
        <f>AJ98</f>
        <v>26077</v>
      </c>
      <c r="AL96" s="89">
        <f>AK98</f>
        <v>27547</v>
      </c>
      <c r="AM96" s="89">
        <f>AL98</f>
        <v>27890</v>
      </c>
      <c r="AN96" s="89">
        <f>AM98</f>
        <v>29380</v>
      </c>
      <c r="AO96" s="377">
        <f>AJ98</f>
        <v>26077</v>
      </c>
      <c r="AP96" s="89">
        <f>AO98</f>
        <v>31417</v>
      </c>
      <c r="AQ96" s="89">
        <f>AP98</f>
        <v>34318</v>
      </c>
      <c r="AR96" s="89">
        <f>AQ98</f>
        <v>36068</v>
      </c>
      <c r="AS96" s="89">
        <f>AR98</f>
        <v>36324</v>
      </c>
      <c r="AT96" s="377">
        <f>AO98</f>
        <v>31417</v>
      </c>
      <c r="AU96" s="89">
        <f>AT98</f>
        <v>37537</v>
      </c>
      <c r="AV96" s="89">
        <f>AU98</f>
        <v>37894</v>
      </c>
      <c r="AW96" s="647">
        <f>AV98</f>
        <v>38658</v>
      </c>
      <c r="AX96" s="89">
        <f>AW98</f>
        <v>38988</v>
      </c>
      <c r="AY96" s="377">
        <f>AT98</f>
        <v>37537</v>
      </c>
      <c r="AZ96" s="89">
        <f>AY98</f>
        <v>40157.64</v>
      </c>
      <c r="BA96" s="89">
        <f>AZ98</f>
        <v>40559.216399999998</v>
      </c>
      <c r="BB96" s="89">
        <f>BA98</f>
        <v>40964.808563999999</v>
      </c>
      <c r="BC96" s="89">
        <f>BB98</f>
        <v>41374.45664964</v>
      </c>
      <c r="BD96" s="377">
        <f>AY98</f>
        <v>40157.64</v>
      </c>
      <c r="BE96" s="377">
        <f>BD98</f>
        <v>41788.201216136396</v>
      </c>
      <c r="BF96" s="377">
        <f>BE98</f>
        <v>44295.493289104583</v>
      </c>
      <c r="BG96" s="377">
        <f>BF98</f>
        <v>46953.222886450858</v>
      </c>
      <c r="BH96" s="89"/>
    </row>
    <row r="97" spans="1:60" s="57" customFormat="1" hidden="1" outlineLevel="1" x14ac:dyDescent="0.25">
      <c r="A97" s="401" t="s">
        <v>629</v>
      </c>
      <c r="B97" s="488"/>
      <c r="C97" s="548"/>
      <c r="D97" s="548"/>
      <c r="E97" s="548"/>
      <c r="F97" s="548"/>
      <c r="G97" s="489"/>
      <c r="H97" s="489"/>
      <c r="I97" s="489"/>
      <c r="J97" s="489"/>
      <c r="K97" s="548"/>
      <c r="L97" s="489"/>
      <c r="M97" s="489"/>
      <c r="N97" s="489"/>
      <c r="O97" s="489"/>
      <c r="P97" s="548"/>
      <c r="Q97" s="489"/>
      <c r="R97" s="489"/>
      <c r="S97" s="489"/>
      <c r="T97" s="489"/>
      <c r="U97" s="548"/>
      <c r="V97" s="489"/>
      <c r="W97" s="489"/>
      <c r="X97" s="489"/>
      <c r="Y97" s="489"/>
      <c r="Z97" s="548"/>
      <c r="AA97" s="489">
        <f>AA98-AA96</f>
        <v>1216</v>
      </c>
      <c r="AB97" s="489">
        <f>AB98-AB96</f>
        <v>1588</v>
      </c>
      <c r="AC97" s="489">
        <f>AC98-AC96</f>
        <v>1254</v>
      </c>
      <c r="AD97" s="489">
        <f>AD98-AD96</f>
        <v>1450</v>
      </c>
      <c r="AE97" s="548">
        <f>SUM(AA97,AB97,AC97,AD97)</f>
        <v>5508</v>
      </c>
      <c r="AF97" s="403">
        <f>AF98-AF96</f>
        <v>1543</v>
      </c>
      <c r="AG97" s="403">
        <f>AG98-AG96</f>
        <v>1535</v>
      </c>
      <c r="AH97" s="403">
        <f>AH98-AH96</f>
        <v>1320</v>
      </c>
      <c r="AI97" s="403">
        <f>AI98-AI96</f>
        <v>1962</v>
      </c>
      <c r="AJ97" s="402">
        <f>SUM(AF97,AG97,AH97,AI97)</f>
        <v>6360</v>
      </c>
      <c r="AK97" s="403">
        <f>AK98-AK96</f>
        <v>1470</v>
      </c>
      <c r="AL97" s="403">
        <f>AL98-AL96</f>
        <v>343</v>
      </c>
      <c r="AM97" s="403">
        <f>AM98-AM96</f>
        <v>1490</v>
      </c>
      <c r="AN97" s="403">
        <f>AN98-AN96</f>
        <v>2037</v>
      </c>
      <c r="AO97" s="402">
        <f>SUM(AK97,AL97,AM97,AN97)</f>
        <v>5340</v>
      </c>
      <c r="AP97" s="403">
        <f>AP98-AP96</f>
        <v>2901</v>
      </c>
      <c r="AQ97" s="403">
        <f>AQ98-AQ96</f>
        <v>1750</v>
      </c>
      <c r="AR97" s="403">
        <f>AR98-AR96</f>
        <v>256</v>
      </c>
      <c r="AS97" s="403">
        <f>AS98-AS96</f>
        <v>1213</v>
      </c>
      <c r="AT97" s="402">
        <f>SUM(AP97,AQ97,AR97,AS97)</f>
        <v>6120</v>
      </c>
      <c r="AU97" s="403">
        <f>AU98-AU96</f>
        <v>357</v>
      </c>
      <c r="AV97" s="403">
        <f>AV98-AV96</f>
        <v>764</v>
      </c>
      <c r="AW97" s="675">
        <f>AW98-AW96</f>
        <v>330</v>
      </c>
      <c r="AX97" s="403">
        <f>AX99*AX96</f>
        <v>1169.6399999999999</v>
      </c>
      <c r="AY97" s="402">
        <f>SUM(AU97,AV97,AW97,AX97)</f>
        <v>2620.64</v>
      </c>
      <c r="AZ97" s="403">
        <f>AZ99*AZ96</f>
        <v>401.57639999999998</v>
      </c>
      <c r="BA97" s="403">
        <f>BA99*BA96</f>
        <v>405.59216399999997</v>
      </c>
      <c r="BB97" s="403">
        <f>BB99*BB96</f>
        <v>409.64808563999998</v>
      </c>
      <c r="BC97" s="403">
        <f>BC99*BC96</f>
        <v>413.74456649640001</v>
      </c>
      <c r="BD97" s="402">
        <f>SUM(AZ97,BA97,BB97,BC97)</f>
        <v>1630.5612161363999</v>
      </c>
      <c r="BE97" s="402">
        <f>BE100*BE96</f>
        <v>2507.2920729681837</v>
      </c>
      <c r="BF97" s="402">
        <f>BF100*BF96</f>
        <v>2657.7295973462747</v>
      </c>
      <c r="BG97" s="402">
        <f>BG100*BG96</f>
        <v>2817.1933731870513</v>
      </c>
      <c r="BH97" s="280"/>
    </row>
    <row r="98" spans="1:60" s="58" customFormat="1" hidden="1" outlineLevel="1" x14ac:dyDescent="0.25">
      <c r="A98" s="379" t="s">
        <v>746</v>
      </c>
      <c r="B98" s="487"/>
      <c r="C98" s="400"/>
      <c r="D98" s="400"/>
      <c r="E98" s="400"/>
      <c r="F98" s="400"/>
      <c r="G98" s="399"/>
      <c r="H98" s="399"/>
      <c r="I98" s="399"/>
      <c r="J98" s="399"/>
      <c r="K98" s="400"/>
      <c r="L98" s="399"/>
      <c r="M98" s="399"/>
      <c r="N98" s="399"/>
      <c r="O98" s="399"/>
      <c r="P98" s="400"/>
      <c r="Q98" s="399"/>
      <c r="R98" s="399"/>
      <c r="S98" s="399"/>
      <c r="T98" s="399"/>
      <c r="U98" s="400"/>
      <c r="V98" s="399"/>
      <c r="W98" s="399"/>
      <c r="X98" s="399"/>
      <c r="Y98" s="399"/>
      <c r="Z98" s="400"/>
      <c r="AA98" s="89">
        <v>15425</v>
      </c>
      <c r="AB98" s="89">
        <v>17013</v>
      </c>
      <c r="AC98" s="89">
        <v>18267</v>
      </c>
      <c r="AD98" s="89">
        <v>19717</v>
      </c>
      <c r="AE98" s="377">
        <f>SUM(AE96:AE97)</f>
        <v>19717</v>
      </c>
      <c r="AF98" s="89">
        <v>21260</v>
      </c>
      <c r="AG98" s="89">
        <v>22795</v>
      </c>
      <c r="AH98" s="89">
        <v>24115</v>
      </c>
      <c r="AI98" s="89">
        <v>26077</v>
      </c>
      <c r="AJ98" s="377">
        <f>SUM(AJ96:AJ97)</f>
        <v>26077</v>
      </c>
      <c r="AK98" s="89">
        <v>27547</v>
      </c>
      <c r="AL98" s="89">
        <v>27890</v>
      </c>
      <c r="AM98" s="89">
        <v>29380</v>
      </c>
      <c r="AN98" s="89">
        <v>31417</v>
      </c>
      <c r="AO98" s="377">
        <f>SUM(AO96:AO97)</f>
        <v>31417</v>
      </c>
      <c r="AP98" s="89">
        <v>34318</v>
      </c>
      <c r="AQ98" s="89">
        <v>36068</v>
      </c>
      <c r="AR98" s="89">
        <v>36324</v>
      </c>
      <c r="AS98" s="89">
        <v>37537</v>
      </c>
      <c r="AT98" s="377">
        <f>SUM(AT96:AT97)</f>
        <v>37537</v>
      </c>
      <c r="AU98" s="89">
        <v>37894</v>
      </c>
      <c r="AV98" s="89">
        <v>38658</v>
      </c>
      <c r="AW98" s="647">
        <v>38988</v>
      </c>
      <c r="AX98" s="89">
        <f t="shared" ref="AX98:BG98" si="62">SUM(AX96:AX97)</f>
        <v>40157.64</v>
      </c>
      <c r="AY98" s="377">
        <f t="shared" si="62"/>
        <v>40157.64</v>
      </c>
      <c r="AZ98" s="89">
        <f t="shared" si="62"/>
        <v>40559.216399999998</v>
      </c>
      <c r="BA98" s="89">
        <f t="shared" si="62"/>
        <v>40964.808563999999</v>
      </c>
      <c r="BB98" s="89">
        <f t="shared" si="62"/>
        <v>41374.45664964</v>
      </c>
      <c r="BC98" s="89">
        <f t="shared" si="62"/>
        <v>41788.201216136404</v>
      </c>
      <c r="BD98" s="377">
        <f t="shared" si="62"/>
        <v>41788.201216136396</v>
      </c>
      <c r="BE98" s="377">
        <f t="shared" si="62"/>
        <v>44295.493289104583</v>
      </c>
      <c r="BF98" s="377">
        <f t="shared" si="62"/>
        <v>46953.222886450858</v>
      </c>
      <c r="BG98" s="377">
        <f t="shared" si="62"/>
        <v>49770.41625963791</v>
      </c>
      <c r="BH98" s="89"/>
    </row>
    <row r="99" spans="1:60" s="58" customFormat="1" hidden="1" outlineLevel="1" x14ac:dyDescent="0.25">
      <c r="A99" s="651" t="s">
        <v>628</v>
      </c>
      <c r="B99" s="650"/>
      <c r="C99" s="796"/>
      <c r="D99" s="796"/>
      <c r="E99" s="796"/>
      <c r="F99" s="796"/>
      <c r="G99" s="163"/>
      <c r="H99" s="163"/>
      <c r="I99" s="163"/>
      <c r="J99" s="163"/>
      <c r="K99" s="796"/>
      <c r="L99" s="163"/>
      <c r="M99" s="163"/>
      <c r="N99" s="163"/>
      <c r="O99" s="163"/>
      <c r="P99" s="796"/>
      <c r="Q99" s="163"/>
      <c r="R99" s="163"/>
      <c r="S99" s="163"/>
      <c r="T99" s="163"/>
      <c r="U99" s="796"/>
      <c r="V99" s="163"/>
      <c r="W99" s="163"/>
      <c r="X99" s="163"/>
      <c r="Y99" s="163"/>
      <c r="Z99" s="796"/>
      <c r="AA99" s="163"/>
      <c r="AB99" s="648">
        <f>AB98/AA98-1</f>
        <v>0.10294975688816854</v>
      </c>
      <c r="AC99" s="648">
        <f>AC98/AB98-1</f>
        <v>7.3708340680656015E-2</v>
      </c>
      <c r="AD99" s="648">
        <f>AD98/AC98-1</f>
        <v>7.9378113538074224E-2</v>
      </c>
      <c r="AE99" s="796"/>
      <c r="AF99" s="648">
        <f>AF98/AD98-1</f>
        <v>7.8257341380534529E-2</v>
      </c>
      <c r="AG99" s="648">
        <f>AG98/AF98-1</f>
        <v>7.2201317027281275E-2</v>
      </c>
      <c r="AH99" s="648">
        <f>AH98/AG98-1</f>
        <v>5.7907435841193289E-2</v>
      </c>
      <c r="AI99" s="648">
        <f>AI98/AH98-1</f>
        <v>8.1360149284677608E-2</v>
      </c>
      <c r="AJ99" s="796"/>
      <c r="AK99" s="648">
        <f>AK98/AI98-1</f>
        <v>5.6371515128273986E-2</v>
      </c>
      <c r="AL99" s="648">
        <f>AL98/AK98-1</f>
        <v>1.2451446618506612E-2</v>
      </c>
      <c r="AM99" s="648">
        <f>AM98/AL98-1</f>
        <v>5.3424166367873838E-2</v>
      </c>
      <c r="AN99" s="648">
        <f>AN98/AM98-1</f>
        <v>6.933287950987066E-2</v>
      </c>
      <c r="AO99" s="796"/>
      <c r="AP99" s="648">
        <f>AP98/AN98-1</f>
        <v>9.233854282713172E-2</v>
      </c>
      <c r="AQ99" s="648">
        <f>AQ98/AP98-1</f>
        <v>5.0993647648464258E-2</v>
      </c>
      <c r="AR99" s="648">
        <f>AR98/AQ98-1</f>
        <v>7.097704336253674E-3</v>
      </c>
      <c r="AS99" s="648">
        <f>AS98/AR98-1</f>
        <v>3.33938993502918E-2</v>
      </c>
      <c r="AT99" s="796"/>
      <c r="AU99" s="648">
        <f>AU98/AS98-1</f>
        <v>9.5106161920239796E-3</v>
      </c>
      <c r="AV99" s="648">
        <f>AV98/AU98-1</f>
        <v>2.0161503140338821E-2</v>
      </c>
      <c r="AW99" s="652">
        <f>AW98/AV98-1</f>
        <v>8.5363960887785417E-3</v>
      </c>
      <c r="AX99" s="653">
        <v>0.03</v>
      </c>
      <c r="AY99" s="796"/>
      <c r="AZ99" s="653">
        <v>0.01</v>
      </c>
      <c r="BA99" s="653">
        <v>0.01</v>
      </c>
      <c r="BB99" s="653">
        <v>0.01</v>
      </c>
      <c r="BC99" s="653">
        <v>0.01</v>
      </c>
      <c r="BD99" s="796"/>
      <c r="BE99" s="796"/>
      <c r="BF99" s="796"/>
      <c r="BG99" s="796"/>
      <c r="BH99" s="89"/>
    </row>
    <row r="100" spans="1:60" s="649" customFormat="1" hidden="1" outlineLevel="1" x14ac:dyDescent="0.25">
      <c r="A100" s="834" t="s">
        <v>627</v>
      </c>
      <c r="B100" s="643"/>
      <c r="C100" s="165"/>
      <c r="D100" s="165"/>
      <c r="E100" s="165"/>
      <c r="F100" s="165"/>
      <c r="G100" s="474"/>
      <c r="H100" s="474"/>
      <c r="I100" s="474"/>
      <c r="J100" s="474"/>
      <c r="K100" s="165"/>
      <c r="L100" s="474"/>
      <c r="M100" s="474"/>
      <c r="N100" s="474"/>
      <c r="O100" s="474"/>
      <c r="P100" s="165"/>
      <c r="Q100" s="474"/>
      <c r="R100" s="474"/>
      <c r="S100" s="474"/>
      <c r="T100" s="474"/>
      <c r="U100" s="165"/>
      <c r="V100" s="474"/>
      <c r="W100" s="474"/>
      <c r="X100" s="474"/>
      <c r="Y100" s="474"/>
      <c r="Z100" s="165"/>
      <c r="AA100" s="474"/>
      <c r="AB100" s="474"/>
      <c r="AC100" s="474"/>
      <c r="AD100" s="474"/>
      <c r="AE100" s="165"/>
      <c r="AF100" s="474">
        <f t="shared" ref="AF100:BD100" si="63">+AF98/AA98-1</f>
        <v>0.37828200972447323</v>
      </c>
      <c r="AG100" s="474">
        <f t="shared" si="63"/>
        <v>0.33985775583377409</v>
      </c>
      <c r="AH100" s="474">
        <f t="shared" si="63"/>
        <v>0.32014014342803954</v>
      </c>
      <c r="AI100" s="474">
        <f t="shared" si="63"/>
        <v>0.32256428462747877</v>
      </c>
      <c r="AJ100" s="165">
        <f t="shared" si="63"/>
        <v>0.32256428462747877</v>
      </c>
      <c r="AK100" s="474">
        <f t="shared" si="63"/>
        <v>0.29571966133584193</v>
      </c>
      <c r="AL100" s="474">
        <f t="shared" si="63"/>
        <v>0.22351392849309049</v>
      </c>
      <c r="AM100" s="474">
        <f t="shared" si="63"/>
        <v>0.21832884097035032</v>
      </c>
      <c r="AN100" s="474">
        <f t="shared" si="63"/>
        <v>0.20477815699658697</v>
      </c>
      <c r="AO100" s="165">
        <f t="shared" si="63"/>
        <v>0.20477815699658697</v>
      </c>
      <c r="AP100" s="474">
        <f t="shared" si="63"/>
        <v>0.24579809053617452</v>
      </c>
      <c r="AQ100" s="474">
        <f t="shared" si="63"/>
        <v>0.29322337755467909</v>
      </c>
      <c r="AR100" s="474">
        <f t="shared" si="63"/>
        <v>0.23635125936010892</v>
      </c>
      <c r="AS100" s="474">
        <f t="shared" si="63"/>
        <v>0.19479899417512803</v>
      </c>
      <c r="AT100" s="165">
        <f t="shared" si="63"/>
        <v>0.19479899417512803</v>
      </c>
      <c r="AU100" s="474">
        <f t="shared" si="63"/>
        <v>0.10420187656623336</v>
      </c>
      <c r="AV100" s="474">
        <f t="shared" si="63"/>
        <v>7.1808805589442137E-2</v>
      </c>
      <c r="AW100" s="598">
        <f t="shared" si="63"/>
        <v>7.3339940535183334E-2</v>
      </c>
      <c r="AX100" s="436">
        <f t="shared" si="63"/>
        <v>6.9814849348642571E-2</v>
      </c>
      <c r="AY100" s="435">
        <f t="shared" si="63"/>
        <v>6.9814849348642571E-2</v>
      </c>
      <c r="AZ100" s="436">
        <f t="shared" si="63"/>
        <v>7.0333467039636721E-2</v>
      </c>
      <c r="BA100" s="436">
        <f t="shared" si="63"/>
        <v>5.9672216979667736E-2</v>
      </c>
      <c r="BB100" s="436">
        <f t="shared" si="63"/>
        <v>6.1210030000000026E-2</v>
      </c>
      <c r="BC100" s="436">
        <f t="shared" si="63"/>
        <v>4.0604010000000024E-2</v>
      </c>
      <c r="BD100" s="435">
        <f t="shared" si="63"/>
        <v>4.0604010000000024E-2</v>
      </c>
      <c r="BE100" s="438">
        <v>0.06</v>
      </c>
      <c r="BF100" s="438">
        <v>0.06</v>
      </c>
      <c r="BG100" s="438">
        <v>0.06</v>
      </c>
      <c r="BH100" s="648"/>
    </row>
    <row r="101" spans="1:60" s="753" customFormat="1" ht="7.5" hidden="1" customHeight="1" outlineLevel="1" x14ac:dyDescent="0.25">
      <c r="A101" s="807"/>
      <c r="B101" s="808"/>
      <c r="C101" s="547"/>
      <c r="D101" s="547"/>
      <c r="E101" s="547"/>
      <c r="F101" s="547"/>
      <c r="G101" s="483"/>
      <c r="H101" s="483"/>
      <c r="I101" s="483"/>
      <c r="J101" s="483"/>
      <c r="K101" s="547"/>
      <c r="L101" s="483"/>
      <c r="M101" s="483"/>
      <c r="N101" s="483"/>
      <c r="O101" s="483"/>
      <c r="P101" s="547"/>
      <c r="Q101" s="483"/>
      <c r="R101" s="483"/>
      <c r="S101" s="483"/>
      <c r="T101" s="483"/>
      <c r="U101" s="547"/>
      <c r="V101" s="483"/>
      <c r="W101" s="483"/>
      <c r="X101" s="483"/>
      <c r="Y101" s="483"/>
      <c r="Z101" s="547"/>
      <c r="AA101" s="483"/>
      <c r="AB101" s="483"/>
      <c r="AC101" s="483"/>
      <c r="AD101" s="483"/>
      <c r="AE101" s="547"/>
      <c r="AF101" s="483"/>
      <c r="AG101" s="483"/>
      <c r="AH101" s="483"/>
      <c r="AI101" s="483"/>
      <c r="AJ101" s="547"/>
      <c r="AK101" s="483"/>
      <c r="AL101" s="483"/>
      <c r="AM101" s="483"/>
      <c r="AN101" s="483"/>
      <c r="AO101" s="547"/>
      <c r="AP101" s="483"/>
      <c r="AQ101" s="483"/>
      <c r="AR101" s="483"/>
      <c r="AS101" s="483"/>
      <c r="AT101" s="547"/>
      <c r="AU101" s="483"/>
      <c r="AV101" s="483"/>
      <c r="AW101" s="571"/>
      <c r="AX101" s="810"/>
      <c r="AY101" s="809"/>
      <c r="AZ101" s="810"/>
      <c r="BA101" s="810"/>
      <c r="BB101" s="810"/>
      <c r="BC101" s="810"/>
      <c r="BD101" s="809"/>
      <c r="BE101" s="809"/>
      <c r="BF101" s="809"/>
      <c r="BG101" s="809"/>
      <c r="BH101" s="811"/>
    </row>
    <row r="102" spans="1:60" s="376" customFormat="1" hidden="1" outlineLevel="1" x14ac:dyDescent="0.25">
      <c r="A102" s="500" t="s">
        <v>711</v>
      </c>
      <c r="B102" s="804"/>
      <c r="C102" s="555"/>
      <c r="D102" s="555"/>
      <c r="E102" s="555"/>
      <c r="F102" s="555"/>
      <c r="G102" s="502"/>
      <c r="H102" s="502"/>
      <c r="I102" s="502"/>
      <c r="J102" s="502"/>
      <c r="K102" s="555"/>
      <c r="L102" s="502"/>
      <c r="M102" s="502"/>
      <c r="N102" s="502"/>
      <c r="O102" s="502"/>
      <c r="P102" s="555"/>
      <c r="Q102" s="502"/>
      <c r="R102" s="502"/>
      <c r="S102" s="502"/>
      <c r="T102" s="502"/>
      <c r="U102" s="555"/>
      <c r="V102" s="502"/>
      <c r="W102" s="502"/>
      <c r="X102" s="502"/>
      <c r="Y102" s="502"/>
      <c r="Z102" s="555"/>
      <c r="AA102" s="502">
        <v>14817</v>
      </c>
      <c r="AB102" s="502">
        <f>AVERAGE(AB98,AB96)</f>
        <v>16219</v>
      </c>
      <c r="AC102" s="502">
        <f>AVERAGE(AC98,AC96)</f>
        <v>17640</v>
      </c>
      <c r="AD102" s="502">
        <f>AVERAGE(AD98,AD96)</f>
        <v>18992</v>
      </c>
      <c r="AE102" s="555">
        <f>AVERAGE(AA102,AB102,AC102,AD102)</f>
        <v>16917</v>
      </c>
      <c r="AF102" s="502">
        <f>AVERAGE(AF98,AF96)</f>
        <v>20488.5</v>
      </c>
      <c r="AG102" s="502">
        <f>AVERAGE(AG98,AG96)</f>
        <v>22027.5</v>
      </c>
      <c r="AH102" s="502">
        <f>AVERAGE(AH98,AH96)</f>
        <v>23455</v>
      </c>
      <c r="AI102" s="502">
        <f>AVERAGE(AI98,AI96)</f>
        <v>25096</v>
      </c>
      <c r="AJ102" s="555">
        <f>AVERAGE(AF102,AG102,AH102,AI102)</f>
        <v>22766.75</v>
      </c>
      <c r="AK102" s="502">
        <f>AVERAGE(AK98,AK96)</f>
        <v>26812</v>
      </c>
      <c r="AL102" s="502">
        <f>AVERAGE(AL98,AL96)</f>
        <v>27718.5</v>
      </c>
      <c r="AM102" s="502">
        <f>AVERAGE(AM98,AM96)</f>
        <v>28635</v>
      </c>
      <c r="AN102" s="502">
        <f>AVERAGE(AN98,AN96)</f>
        <v>30398.5</v>
      </c>
      <c r="AO102" s="555">
        <f>AVERAGE(AK102,AL102,AM102,AN102)</f>
        <v>28391</v>
      </c>
      <c r="AP102" s="502">
        <f>AVERAGE(AP98,AP96)</f>
        <v>32867.5</v>
      </c>
      <c r="AQ102" s="502">
        <f>AVERAGE(AQ98,AQ96)</f>
        <v>35193</v>
      </c>
      <c r="AR102" s="502">
        <f>AVERAGE(AR98,AR96)</f>
        <v>36196</v>
      </c>
      <c r="AS102" s="502">
        <f>AVERAGE(AS98,AS96)</f>
        <v>36930.5</v>
      </c>
      <c r="AT102" s="555">
        <f>AVERAGE(AP102,AQ102,AR102,AS102)</f>
        <v>35296.75</v>
      </c>
      <c r="AU102" s="502">
        <f>AVERAGE(AU98,AU96)</f>
        <v>37715.5</v>
      </c>
      <c r="AV102" s="502">
        <f>AVERAGE(AV98,AV96)</f>
        <v>38276</v>
      </c>
      <c r="AW102" s="635">
        <f>AVERAGE(AW98,AW96)</f>
        <v>38823</v>
      </c>
      <c r="AX102" s="502">
        <f>AVERAGE(AX98,AX96)</f>
        <v>39572.82</v>
      </c>
      <c r="AY102" s="555">
        <f>AVERAGE(AU102,AV102,AW102,AX102)</f>
        <v>38596.83</v>
      </c>
      <c r="AZ102" s="502">
        <f>AVERAGE(AZ98,AZ96)</f>
        <v>40358.428199999995</v>
      </c>
      <c r="BA102" s="502">
        <f>AVERAGE(BA98,BA96)</f>
        <v>40762.012481999998</v>
      </c>
      <c r="BB102" s="502">
        <f>AVERAGE(BB98,BB96)</f>
        <v>41169.63260682</v>
      </c>
      <c r="BC102" s="502">
        <f>AVERAGE(BC98,BC96)</f>
        <v>41581.328932888202</v>
      </c>
      <c r="BD102" s="555">
        <f>AVERAGE(AZ102,BA102,BB102,BC102)</f>
        <v>40967.850555427045</v>
      </c>
      <c r="BE102" s="555">
        <f>AVERAGE(BE98,BE96)</f>
        <v>43041.847252620486</v>
      </c>
      <c r="BF102" s="555">
        <f>AVERAGE(BF98,BF96)</f>
        <v>45624.35808777772</v>
      </c>
      <c r="BG102" s="555">
        <f>AVERAGE(BG98,BG96)</f>
        <v>48361.819573044384</v>
      </c>
      <c r="BH102" s="280"/>
    </row>
    <row r="103" spans="1:60" s="376" customFormat="1" hidden="1" outlineLevel="1" x14ac:dyDescent="0.25">
      <c r="A103" s="681" t="s">
        <v>716</v>
      </c>
      <c r="B103" s="754"/>
      <c r="C103" s="165"/>
      <c r="D103" s="165"/>
      <c r="E103" s="165"/>
      <c r="F103" s="165"/>
      <c r="G103" s="474"/>
      <c r="H103" s="474"/>
      <c r="I103" s="474"/>
      <c r="J103" s="474"/>
      <c r="K103" s="165"/>
      <c r="L103" s="474"/>
      <c r="M103" s="474"/>
      <c r="N103" s="474"/>
      <c r="O103" s="474"/>
      <c r="P103" s="165"/>
      <c r="Q103" s="474"/>
      <c r="R103" s="474"/>
      <c r="S103" s="474"/>
      <c r="T103" s="474"/>
      <c r="U103" s="165"/>
      <c r="V103" s="474"/>
      <c r="W103" s="474"/>
      <c r="X103" s="474"/>
      <c r="Y103" s="474"/>
      <c r="Z103" s="165"/>
      <c r="AA103" s="474"/>
      <c r="AB103" s="474">
        <f>AB102/AA102-1</f>
        <v>9.4621043396099003E-2</v>
      </c>
      <c r="AC103" s="474">
        <f>AC102/AB102-1</f>
        <v>8.7613293051359564E-2</v>
      </c>
      <c r="AD103" s="474">
        <f>AD102/AC102-1</f>
        <v>7.6643990929705197E-2</v>
      </c>
      <c r="AE103" s="165"/>
      <c r="AF103" s="474">
        <f>AF102/AD102-1</f>
        <v>7.8796335299073261E-2</v>
      </c>
      <c r="AG103" s="474">
        <f>AG102/AF102-1</f>
        <v>7.5115308587744289E-2</v>
      </c>
      <c r="AH103" s="474">
        <f>AH102/AG102-1</f>
        <v>6.4805356940188297E-2</v>
      </c>
      <c r="AI103" s="474">
        <f>AI102/AH102-1</f>
        <v>6.9963760392240504E-2</v>
      </c>
      <c r="AJ103" s="165"/>
      <c r="AK103" s="474">
        <f>AK102/AI102-1</f>
        <v>6.837743066624169E-2</v>
      </c>
      <c r="AL103" s="474">
        <f>AL102/AK102-1</f>
        <v>3.3809488288825795E-2</v>
      </c>
      <c r="AM103" s="474">
        <f>AM102/AL102-1</f>
        <v>3.3064559770550339E-2</v>
      </c>
      <c r="AN103" s="474">
        <f>AN102/AM102-1</f>
        <v>6.158547232407896E-2</v>
      </c>
      <c r="AO103" s="165"/>
      <c r="AP103" s="474">
        <f>AP102/AN102-1</f>
        <v>8.1221112883859359E-2</v>
      </c>
      <c r="AQ103" s="474">
        <f>AQ102/AP102-1</f>
        <v>7.0753784133262387E-2</v>
      </c>
      <c r="AR103" s="474">
        <f>AR102/AQ102-1</f>
        <v>2.8499985792629134E-2</v>
      </c>
      <c r="AS103" s="474">
        <f>AS102/AR102-1</f>
        <v>2.0292297491435463E-2</v>
      </c>
      <c r="AT103" s="165"/>
      <c r="AU103" s="474">
        <f>AU102/AS102-1</f>
        <v>2.1256143296191521E-2</v>
      </c>
      <c r="AV103" s="474">
        <f>AV102/AU102-1</f>
        <v>1.4861263936577718E-2</v>
      </c>
      <c r="AW103" s="598">
        <f>AW102/AV102-1</f>
        <v>1.4290939492110022E-2</v>
      </c>
      <c r="AX103" s="474">
        <f>AX102/AW102-1</f>
        <v>1.9313808824665823E-2</v>
      </c>
      <c r="AY103" s="165"/>
      <c r="AZ103" s="474">
        <f>AZ102/AX102-1</f>
        <v>1.9852216748768248E-2</v>
      </c>
      <c r="BA103" s="474">
        <f>BA102/AZ102-1</f>
        <v>1.0000000000000009E-2</v>
      </c>
      <c r="BB103" s="474">
        <f>BB102/BA102-1</f>
        <v>1.0000000000000009E-2</v>
      </c>
      <c r="BC103" s="474">
        <f>BC102/BB102-1</f>
        <v>1.0000000000000009E-2</v>
      </c>
      <c r="BD103" s="165"/>
      <c r="BE103" s="165"/>
      <c r="BF103" s="165"/>
      <c r="BG103" s="165"/>
      <c r="BH103" s="89"/>
    </row>
    <row r="104" spans="1:60" s="416" customFormat="1" hidden="1" outlineLevel="1" x14ac:dyDescent="0.25">
      <c r="A104" s="186" t="s">
        <v>717</v>
      </c>
      <c r="B104" s="643"/>
      <c r="C104" s="165"/>
      <c r="D104" s="165"/>
      <c r="E104" s="165"/>
      <c r="F104" s="165"/>
      <c r="G104" s="474"/>
      <c r="H104" s="474"/>
      <c r="I104" s="474"/>
      <c r="J104" s="474"/>
      <c r="K104" s="165"/>
      <c r="L104" s="474"/>
      <c r="M104" s="474"/>
      <c r="N104" s="474"/>
      <c r="O104" s="474"/>
      <c r="P104" s="165"/>
      <c r="Q104" s="474"/>
      <c r="R104" s="474"/>
      <c r="S104" s="474"/>
      <c r="T104" s="474"/>
      <c r="U104" s="165"/>
      <c r="V104" s="474"/>
      <c r="W104" s="474"/>
      <c r="X104" s="474"/>
      <c r="Y104" s="474"/>
      <c r="Z104" s="165"/>
      <c r="AA104" s="474"/>
      <c r="AB104" s="474"/>
      <c r="AC104" s="474"/>
      <c r="AD104" s="474"/>
      <c r="AE104" s="165"/>
      <c r="AF104" s="474">
        <f t="shared" ref="AF104:BD104" si="64">AF102/AA102-1</f>
        <v>0.38276979145576018</v>
      </c>
      <c r="AG104" s="474">
        <f t="shared" si="64"/>
        <v>0.35812935446081751</v>
      </c>
      <c r="AH104" s="474">
        <f t="shared" si="64"/>
        <v>0.3296485260770976</v>
      </c>
      <c r="AI104" s="474">
        <f t="shared" si="64"/>
        <v>0.32139848357203027</v>
      </c>
      <c r="AJ104" s="165">
        <f t="shared" si="64"/>
        <v>0.34579121593663187</v>
      </c>
      <c r="AK104" s="474">
        <f t="shared" si="64"/>
        <v>0.30863655221221653</v>
      </c>
      <c r="AL104" s="474">
        <f t="shared" si="64"/>
        <v>0.25835886959482468</v>
      </c>
      <c r="AM104" s="474">
        <f t="shared" si="64"/>
        <v>0.22084843316989988</v>
      </c>
      <c r="AN104" s="474">
        <f t="shared" si="64"/>
        <v>0.21128865157794063</v>
      </c>
      <c r="AO104" s="165">
        <f t="shared" si="64"/>
        <v>0.24703789517607921</v>
      </c>
      <c r="AP104" s="474">
        <f t="shared" si="64"/>
        <v>0.22585036550798154</v>
      </c>
      <c r="AQ104" s="474">
        <f t="shared" si="64"/>
        <v>0.26965744899615784</v>
      </c>
      <c r="AR104" s="474">
        <f t="shared" si="64"/>
        <v>0.26404749432512653</v>
      </c>
      <c r="AS104" s="474">
        <f t="shared" si="64"/>
        <v>0.21487902363603473</v>
      </c>
      <c r="AT104" s="165">
        <f t="shared" si="64"/>
        <v>0.24323729350850631</v>
      </c>
      <c r="AU104" s="474">
        <f t="shared" si="64"/>
        <v>0.14750133110215269</v>
      </c>
      <c r="AV104" s="474">
        <f t="shared" si="64"/>
        <v>8.7602648253914062E-2</v>
      </c>
      <c r="AW104" s="598">
        <f t="shared" si="64"/>
        <v>7.2577080340369138E-2</v>
      </c>
      <c r="AX104" s="474">
        <f t="shared" si="64"/>
        <v>7.1548449113876034E-2</v>
      </c>
      <c r="AY104" s="165">
        <f t="shared" si="64"/>
        <v>9.3495293476028252E-2</v>
      </c>
      <c r="AZ104" s="474">
        <f t="shared" si="64"/>
        <v>7.0075385451604744E-2</v>
      </c>
      <c r="BA104" s="474">
        <f t="shared" si="64"/>
        <v>6.4949641603093244E-2</v>
      </c>
      <c r="BB104" s="474">
        <f t="shared" si="64"/>
        <v>6.0444391387064256E-2</v>
      </c>
      <c r="BC104" s="474">
        <f t="shared" si="64"/>
        <v>5.0754758768472907E-2</v>
      </c>
      <c r="BD104" s="165">
        <f t="shared" si="64"/>
        <v>6.1430447926087206E-2</v>
      </c>
      <c r="BE104" s="165">
        <f>BE102/BD102-1</f>
        <v>5.0624982006010955E-2</v>
      </c>
      <c r="BF104" s="165">
        <f>BF102/BE102-1</f>
        <v>6.0000000000000053E-2</v>
      </c>
      <c r="BG104" s="165">
        <f>BG102/BF102-1</f>
        <v>6.0000000000000053E-2</v>
      </c>
      <c r="BH104" s="648"/>
    </row>
    <row r="105" spans="1:60" s="753" customFormat="1" ht="7.5" hidden="1" customHeight="1" outlineLevel="1" x14ac:dyDescent="0.25">
      <c r="A105" s="807"/>
      <c r="B105" s="808"/>
      <c r="C105" s="547"/>
      <c r="D105" s="547"/>
      <c r="E105" s="547"/>
      <c r="F105" s="547"/>
      <c r="G105" s="483"/>
      <c r="H105" s="483"/>
      <c r="I105" s="483"/>
      <c r="J105" s="483"/>
      <c r="K105" s="547"/>
      <c r="L105" s="483"/>
      <c r="M105" s="483"/>
      <c r="N105" s="483"/>
      <c r="O105" s="483"/>
      <c r="P105" s="547"/>
      <c r="Q105" s="483"/>
      <c r="R105" s="483"/>
      <c r="S105" s="483"/>
      <c r="T105" s="483"/>
      <c r="U105" s="547"/>
      <c r="V105" s="483"/>
      <c r="W105" s="483"/>
      <c r="X105" s="483"/>
      <c r="Y105" s="483"/>
      <c r="Z105" s="547"/>
      <c r="AA105" s="483"/>
      <c r="AB105" s="483"/>
      <c r="AC105" s="483"/>
      <c r="AD105" s="483"/>
      <c r="AE105" s="547"/>
      <c r="AF105" s="483"/>
      <c r="AG105" s="483"/>
      <c r="AH105" s="483"/>
      <c r="AI105" s="483"/>
      <c r="AJ105" s="547"/>
      <c r="AK105" s="483"/>
      <c r="AL105" s="483"/>
      <c r="AM105" s="483"/>
      <c r="AN105" s="483"/>
      <c r="AO105" s="547"/>
      <c r="AP105" s="483"/>
      <c r="AQ105" s="483"/>
      <c r="AR105" s="483"/>
      <c r="AS105" s="483"/>
      <c r="AT105" s="547"/>
      <c r="AU105" s="483"/>
      <c r="AV105" s="483"/>
      <c r="AW105" s="571"/>
      <c r="AX105" s="810"/>
      <c r="AY105" s="809"/>
      <c r="AZ105" s="810"/>
      <c r="BA105" s="810"/>
      <c r="BB105" s="810"/>
      <c r="BC105" s="810"/>
      <c r="BD105" s="809"/>
      <c r="BE105" s="809"/>
      <c r="BF105" s="809"/>
      <c r="BG105" s="809"/>
      <c r="BH105" s="811"/>
    </row>
    <row r="106" spans="1:60" s="58" customFormat="1" hidden="1" outlineLevel="1" x14ac:dyDescent="0.25">
      <c r="A106" s="663" t="s">
        <v>456</v>
      </c>
      <c r="B106" s="491"/>
      <c r="C106" s="99"/>
      <c r="D106" s="99"/>
      <c r="E106" s="99"/>
      <c r="F106" s="99"/>
      <c r="G106" s="188"/>
      <c r="H106" s="188"/>
      <c r="I106" s="188"/>
      <c r="J106" s="188"/>
      <c r="K106" s="99"/>
      <c r="L106" s="188"/>
      <c r="M106" s="188"/>
      <c r="N106" s="188"/>
      <c r="O106" s="188"/>
      <c r="P106" s="99"/>
      <c r="Q106" s="188"/>
      <c r="R106" s="188"/>
      <c r="S106" s="188"/>
      <c r="T106" s="188"/>
      <c r="U106" s="99"/>
      <c r="V106" s="188"/>
      <c r="W106" s="188"/>
      <c r="X106" s="188"/>
      <c r="Y106" s="188"/>
      <c r="Z106" s="99"/>
      <c r="AA106" s="83">
        <v>7.46</v>
      </c>
      <c r="AB106" s="83">
        <v>7.84</v>
      </c>
      <c r="AC106" s="83">
        <v>8.2100000000000009</v>
      </c>
      <c r="AD106" s="83">
        <v>8.69</v>
      </c>
      <c r="AE106" s="18">
        <v>8.09</v>
      </c>
      <c r="AF106" s="83">
        <v>8.7899999999999991</v>
      </c>
      <c r="AG106" s="83">
        <v>8.6</v>
      </c>
      <c r="AH106" s="83">
        <v>7.99</v>
      </c>
      <c r="AI106" s="83">
        <v>7.53</v>
      </c>
      <c r="AJ106" s="18">
        <v>8.19</v>
      </c>
      <c r="AK106" s="83">
        <v>7.84</v>
      </c>
      <c r="AL106" s="83">
        <v>8.14</v>
      </c>
      <c r="AM106" s="83">
        <v>8.6300000000000008</v>
      </c>
      <c r="AN106" s="83">
        <v>8.18</v>
      </c>
      <c r="AO106" s="18">
        <v>8.2100000000000009</v>
      </c>
      <c r="AP106" s="83">
        <v>8.0500000000000007</v>
      </c>
      <c r="AQ106" s="83">
        <v>7.44</v>
      </c>
      <c r="AR106" s="83">
        <v>7.27</v>
      </c>
      <c r="AS106" s="83">
        <v>7.12</v>
      </c>
      <c r="AT106" s="18">
        <v>7.45</v>
      </c>
      <c r="AU106" s="83">
        <v>7.39</v>
      </c>
      <c r="AV106" s="83">
        <v>7.5</v>
      </c>
      <c r="AW106" s="641">
        <v>7.86</v>
      </c>
      <c r="AX106" s="83">
        <f>AW106*(1+AX107)</f>
        <v>7.9386000000000001</v>
      </c>
      <c r="AY106" s="18">
        <f>AVERAGE(AU106,AV106,AW106,AX106)</f>
        <v>7.6721500000000002</v>
      </c>
      <c r="AZ106" s="83">
        <f>AX106*(1+AZ107)</f>
        <v>8.0179860000000005</v>
      </c>
      <c r="BA106" s="83">
        <f>AZ106*(1+BA107)</f>
        <v>8.0981658599999999</v>
      </c>
      <c r="BB106" s="83">
        <f>BA106*(1+BB107)</f>
        <v>8.1791475186000007</v>
      </c>
      <c r="BC106" s="83">
        <f>BB106*(1+BC107)</f>
        <v>8.2609389937860005</v>
      </c>
      <c r="BD106" s="18">
        <f>AVERAGE(AZ106,BA106,BB106,BC106)</f>
        <v>8.1390595930965013</v>
      </c>
      <c r="BE106" s="18">
        <f>+BD106*(1+BE109)</f>
        <v>8.5460125727513265</v>
      </c>
      <c r="BF106" s="18">
        <f>+BE106*(1+BF109)</f>
        <v>8.9733132013888941</v>
      </c>
      <c r="BG106" s="18">
        <f>+BF106*(1+BG109)</f>
        <v>9.4219788614583386</v>
      </c>
      <c r="BH106" s="83"/>
    </row>
    <row r="107" spans="1:60" s="58" customFormat="1" hidden="1" outlineLevel="1" x14ac:dyDescent="0.25">
      <c r="A107" s="666" t="s">
        <v>631</v>
      </c>
      <c r="B107" s="667"/>
      <c r="C107" s="796"/>
      <c r="D107" s="796"/>
      <c r="E107" s="796"/>
      <c r="F107" s="796"/>
      <c r="G107" s="163"/>
      <c r="H107" s="163"/>
      <c r="I107" s="163"/>
      <c r="J107" s="163"/>
      <c r="K107" s="796"/>
      <c r="L107" s="163"/>
      <c r="M107" s="163"/>
      <c r="N107" s="163"/>
      <c r="O107" s="163"/>
      <c r="P107" s="796"/>
      <c r="Q107" s="163"/>
      <c r="R107" s="163"/>
      <c r="S107" s="163"/>
      <c r="T107" s="163"/>
      <c r="U107" s="796"/>
      <c r="V107" s="163"/>
      <c r="W107" s="163"/>
      <c r="X107" s="163"/>
      <c r="Y107" s="163"/>
      <c r="Z107" s="796"/>
      <c r="AA107" s="163"/>
      <c r="AB107" s="648">
        <f>AB106/AA106-1</f>
        <v>5.0938337801608613E-2</v>
      </c>
      <c r="AC107" s="648">
        <f>AC106/AB106-1</f>
        <v>4.7193877551020558E-2</v>
      </c>
      <c r="AD107" s="648">
        <f>AD106/AC106-1</f>
        <v>5.8465286236297098E-2</v>
      </c>
      <c r="AE107" s="796"/>
      <c r="AF107" s="648">
        <f>AF106/AD106-1</f>
        <v>1.1507479861910141E-2</v>
      </c>
      <c r="AG107" s="648">
        <f>AG106/AF106-1</f>
        <v>-2.1615472127417434E-2</v>
      </c>
      <c r="AH107" s="648">
        <f>AH106/AG106-1</f>
        <v>-7.0930232558139461E-2</v>
      </c>
      <c r="AI107" s="648">
        <f>AI106/AH106-1</f>
        <v>-5.757196495619521E-2</v>
      </c>
      <c r="AJ107" s="796"/>
      <c r="AK107" s="648">
        <f>AK106/AI106-1</f>
        <v>4.116865869853914E-2</v>
      </c>
      <c r="AL107" s="648">
        <f>AL106/AK106-1</f>
        <v>3.8265306122449161E-2</v>
      </c>
      <c r="AM107" s="648">
        <f>AM106/AL106-1</f>
        <v>6.0196560196560167E-2</v>
      </c>
      <c r="AN107" s="648">
        <f>AN106/AM106-1</f>
        <v>-5.2143684820394109E-2</v>
      </c>
      <c r="AO107" s="796"/>
      <c r="AP107" s="648">
        <f>AP106/AN106-1</f>
        <v>-1.5892420537897189E-2</v>
      </c>
      <c r="AQ107" s="648">
        <f>AQ106/AP106-1</f>
        <v>-7.5776397515528005E-2</v>
      </c>
      <c r="AR107" s="648">
        <f>AR106/AQ106-1</f>
        <v>-2.2849462365591489E-2</v>
      </c>
      <c r="AS107" s="648">
        <f>AS106/AR106-1</f>
        <v>-2.063273727647863E-2</v>
      </c>
      <c r="AT107" s="796"/>
      <c r="AU107" s="648">
        <f>AU106/AS106-1</f>
        <v>3.7921348314606584E-2</v>
      </c>
      <c r="AV107" s="648">
        <f>AV106/AU106-1</f>
        <v>1.4884979702300516E-2</v>
      </c>
      <c r="AW107" s="652">
        <f>AW106/AV106-1</f>
        <v>4.8000000000000043E-2</v>
      </c>
      <c r="AX107" s="653">
        <v>0.01</v>
      </c>
      <c r="AY107" s="796"/>
      <c r="AZ107" s="653">
        <v>0.01</v>
      </c>
      <c r="BA107" s="653">
        <v>0.01</v>
      </c>
      <c r="BB107" s="653">
        <v>0.01</v>
      </c>
      <c r="BC107" s="653">
        <v>0.01</v>
      </c>
      <c r="BD107" s="796"/>
      <c r="BE107" s="796"/>
      <c r="BF107" s="796"/>
      <c r="BG107" s="796"/>
      <c r="BH107" s="83"/>
    </row>
    <row r="108" spans="1:60" s="649" customFormat="1" hidden="1" outlineLevel="1" x14ac:dyDescent="0.25">
      <c r="A108" s="151" t="s">
        <v>663</v>
      </c>
      <c r="B108" s="654"/>
      <c r="C108" s="796"/>
      <c r="D108" s="796"/>
      <c r="E108" s="796"/>
      <c r="F108" s="796"/>
      <c r="G108" s="163"/>
      <c r="H108" s="163"/>
      <c r="I108" s="163"/>
      <c r="J108" s="163"/>
      <c r="K108" s="796"/>
      <c r="L108" s="163"/>
      <c r="M108" s="163"/>
      <c r="N108" s="163"/>
      <c r="O108" s="163"/>
      <c r="P108" s="796"/>
      <c r="Q108" s="163"/>
      <c r="R108" s="163"/>
      <c r="S108" s="163"/>
      <c r="T108" s="163"/>
      <c r="U108" s="796"/>
      <c r="V108" s="163"/>
      <c r="W108" s="163"/>
      <c r="X108" s="163"/>
      <c r="Y108" s="163"/>
      <c r="Z108" s="796"/>
      <c r="AA108" s="648">
        <v>0.15</v>
      </c>
      <c r="AB108" s="648">
        <v>0.15</v>
      </c>
      <c r="AC108" s="648">
        <v>0.13</v>
      </c>
      <c r="AD108" s="648">
        <v>0.17</v>
      </c>
      <c r="AE108" s="817">
        <v>0.15</v>
      </c>
      <c r="AF108" s="648">
        <v>0.18</v>
      </c>
      <c r="AG108" s="648">
        <v>0.18</v>
      </c>
      <c r="AH108" s="648">
        <v>0.14000000000000001</v>
      </c>
      <c r="AI108" s="648">
        <v>0.06</v>
      </c>
      <c r="AJ108" s="817">
        <v>0.13</v>
      </c>
      <c r="AK108" s="648">
        <v>7.0000000000000007E-2</v>
      </c>
      <c r="AL108" s="648">
        <v>0.12</v>
      </c>
      <c r="AM108" s="648">
        <v>0.17</v>
      </c>
      <c r="AN108" s="648">
        <v>0.18</v>
      </c>
      <c r="AO108" s="817">
        <v>0.13</v>
      </c>
      <c r="AP108" s="648">
        <v>0.12</v>
      </c>
      <c r="AQ108" s="648">
        <v>0.13</v>
      </c>
      <c r="AR108" s="648">
        <v>0.05</v>
      </c>
      <c r="AS108" s="648">
        <v>0.04</v>
      </c>
      <c r="AT108" s="817">
        <v>0.08</v>
      </c>
      <c r="AU108" s="648">
        <v>0.05</v>
      </c>
      <c r="AV108" s="648">
        <v>0.02</v>
      </c>
      <c r="AW108" s="652">
        <v>0.08</v>
      </c>
      <c r="AX108" s="163"/>
      <c r="AY108" s="796"/>
      <c r="AZ108" s="163"/>
      <c r="BA108" s="163"/>
      <c r="BB108" s="163"/>
      <c r="BC108" s="163"/>
      <c r="BD108" s="796"/>
      <c r="BE108" s="796"/>
      <c r="BF108" s="796"/>
      <c r="BG108" s="796"/>
      <c r="BH108" s="648"/>
    </row>
    <row r="109" spans="1:60" s="649" customFormat="1" hidden="1" outlineLevel="1" x14ac:dyDescent="0.25">
      <c r="A109" s="664" t="s">
        <v>630</v>
      </c>
      <c r="B109" s="643"/>
      <c r="C109" s="165"/>
      <c r="D109" s="165"/>
      <c r="E109" s="165"/>
      <c r="F109" s="165"/>
      <c r="G109" s="474"/>
      <c r="H109" s="474"/>
      <c r="I109" s="474"/>
      <c r="J109" s="474"/>
      <c r="K109" s="165"/>
      <c r="L109" s="474"/>
      <c r="M109" s="474"/>
      <c r="N109" s="474"/>
      <c r="O109" s="474"/>
      <c r="P109" s="165"/>
      <c r="Q109" s="474"/>
      <c r="R109" s="474"/>
      <c r="S109" s="474"/>
      <c r="T109" s="474"/>
      <c r="U109" s="165"/>
      <c r="V109" s="474"/>
      <c r="W109" s="474"/>
      <c r="X109" s="474"/>
      <c r="Y109" s="474"/>
      <c r="Z109" s="165"/>
      <c r="AA109" s="474"/>
      <c r="AB109" s="474"/>
      <c r="AC109" s="474"/>
      <c r="AD109" s="474"/>
      <c r="AE109" s="165"/>
      <c r="AF109" s="474">
        <f t="shared" ref="AF109:BD109" si="65">+AF106/AA106-1</f>
        <v>0.17828418230562981</v>
      </c>
      <c r="AG109" s="474">
        <f t="shared" si="65"/>
        <v>9.6938775510204023E-2</v>
      </c>
      <c r="AH109" s="474">
        <f t="shared" si="65"/>
        <v>-2.6796589524969661E-2</v>
      </c>
      <c r="AI109" s="474">
        <f t="shared" si="65"/>
        <v>-0.13348676639815871</v>
      </c>
      <c r="AJ109" s="165">
        <f t="shared" si="65"/>
        <v>1.2360939431396822E-2</v>
      </c>
      <c r="AK109" s="474">
        <f t="shared" si="65"/>
        <v>-0.10807736063708751</v>
      </c>
      <c r="AL109" s="474">
        <f t="shared" si="65"/>
        <v>-5.3488372093023151E-2</v>
      </c>
      <c r="AM109" s="474">
        <f t="shared" si="65"/>
        <v>8.0100125156445712E-2</v>
      </c>
      <c r="AN109" s="474">
        <f t="shared" si="65"/>
        <v>8.6321381142098197E-2</v>
      </c>
      <c r="AO109" s="165">
        <f t="shared" si="65"/>
        <v>2.4420024420026554E-3</v>
      </c>
      <c r="AP109" s="474">
        <f t="shared" si="65"/>
        <v>2.6785714285714413E-2</v>
      </c>
      <c r="AQ109" s="474">
        <f t="shared" si="65"/>
        <v>-8.5995085995085985E-2</v>
      </c>
      <c r="AR109" s="474">
        <f t="shared" si="65"/>
        <v>-0.15758980301274639</v>
      </c>
      <c r="AS109" s="474">
        <f t="shared" si="65"/>
        <v>-0.1295843520782396</v>
      </c>
      <c r="AT109" s="165">
        <f t="shared" si="65"/>
        <v>-9.2570036540803979E-2</v>
      </c>
      <c r="AU109" s="474">
        <f t="shared" si="65"/>
        <v>-8.1987577639751619E-2</v>
      </c>
      <c r="AV109" s="474">
        <f t="shared" si="65"/>
        <v>8.0645161290322509E-3</v>
      </c>
      <c r="AW109" s="596">
        <f t="shared" si="65"/>
        <v>8.115543328748287E-2</v>
      </c>
      <c r="AX109" s="436">
        <f t="shared" si="65"/>
        <v>0.11497191011235963</v>
      </c>
      <c r="AY109" s="435">
        <f t="shared" si="65"/>
        <v>2.9818791946308654E-2</v>
      </c>
      <c r="AZ109" s="436">
        <f t="shared" si="65"/>
        <v>8.4977807848443998E-2</v>
      </c>
      <c r="BA109" s="436">
        <f t="shared" si="65"/>
        <v>7.9755448000000007E-2</v>
      </c>
      <c r="BB109" s="436">
        <f t="shared" si="65"/>
        <v>4.0604010000000024E-2</v>
      </c>
      <c r="BC109" s="436">
        <f t="shared" si="65"/>
        <v>4.0604010000000024E-2</v>
      </c>
      <c r="BD109" s="435">
        <f t="shared" si="65"/>
        <v>6.085772477030571E-2</v>
      </c>
      <c r="BE109" s="438">
        <v>0.05</v>
      </c>
      <c r="BF109" s="438">
        <v>0.05</v>
      </c>
      <c r="BG109" s="438">
        <v>0.05</v>
      </c>
      <c r="BH109" s="648"/>
    </row>
    <row r="110" spans="1:60" s="753" customFormat="1" ht="7.5" hidden="1" customHeight="1" outlineLevel="1" x14ac:dyDescent="0.25">
      <c r="A110" s="807"/>
      <c r="B110" s="808"/>
      <c r="C110" s="547"/>
      <c r="D110" s="547"/>
      <c r="E110" s="547"/>
      <c r="F110" s="547"/>
      <c r="G110" s="483"/>
      <c r="H110" s="483"/>
      <c r="I110" s="483"/>
      <c r="J110" s="483"/>
      <c r="K110" s="547"/>
      <c r="L110" s="483"/>
      <c r="M110" s="483"/>
      <c r="N110" s="483"/>
      <c r="O110" s="483"/>
      <c r="P110" s="547"/>
      <c r="Q110" s="483"/>
      <c r="R110" s="483"/>
      <c r="S110" s="483"/>
      <c r="T110" s="483"/>
      <c r="U110" s="547"/>
      <c r="V110" s="483"/>
      <c r="W110" s="483"/>
      <c r="X110" s="483"/>
      <c r="Y110" s="483"/>
      <c r="Z110" s="547"/>
      <c r="AA110" s="483"/>
      <c r="AB110" s="483"/>
      <c r="AC110" s="483"/>
      <c r="AD110" s="483"/>
      <c r="AE110" s="547"/>
      <c r="AF110" s="483"/>
      <c r="AG110" s="483"/>
      <c r="AH110" s="483"/>
      <c r="AI110" s="483"/>
      <c r="AJ110" s="547"/>
      <c r="AK110" s="483"/>
      <c r="AL110" s="483"/>
      <c r="AM110" s="483"/>
      <c r="AN110" s="483"/>
      <c r="AO110" s="547"/>
      <c r="AP110" s="483"/>
      <c r="AQ110" s="483"/>
      <c r="AR110" s="483"/>
      <c r="AS110" s="483"/>
      <c r="AT110" s="547"/>
      <c r="AU110" s="483"/>
      <c r="AV110" s="483"/>
      <c r="AW110" s="571"/>
      <c r="AX110" s="810"/>
      <c r="AY110" s="809"/>
      <c r="AZ110" s="810"/>
      <c r="BA110" s="810"/>
      <c r="BB110" s="810"/>
      <c r="BC110" s="810"/>
      <c r="BD110" s="809"/>
      <c r="BE110" s="809"/>
      <c r="BF110" s="809"/>
      <c r="BG110" s="809"/>
      <c r="BH110" s="811"/>
    </row>
    <row r="111" spans="1:60" s="58" customFormat="1" hidden="1" outlineLevel="1" x14ac:dyDescent="0.25">
      <c r="A111" s="61" t="s">
        <v>467</v>
      </c>
      <c r="B111" s="492"/>
      <c r="C111" s="869"/>
      <c r="D111" s="869"/>
      <c r="E111" s="869"/>
      <c r="F111" s="869"/>
      <c r="G111" s="870"/>
      <c r="H111" s="870"/>
      <c r="I111" s="870"/>
      <c r="J111" s="870"/>
      <c r="K111" s="869"/>
      <c r="L111" s="870"/>
      <c r="M111" s="870"/>
      <c r="N111" s="870"/>
      <c r="O111" s="870"/>
      <c r="P111" s="869"/>
      <c r="Q111" s="870"/>
      <c r="R111" s="870"/>
      <c r="S111" s="870"/>
      <c r="T111" s="870"/>
      <c r="U111" s="869"/>
      <c r="V111" s="870"/>
      <c r="W111" s="870"/>
      <c r="X111" s="870"/>
      <c r="Y111" s="870"/>
      <c r="Z111" s="869"/>
      <c r="AA111" s="871">
        <v>331.45299999999997</v>
      </c>
      <c r="AB111" s="871">
        <v>381.459</v>
      </c>
      <c r="AC111" s="871">
        <v>434.637</v>
      </c>
      <c r="AD111" s="871">
        <v>495.06700000000001</v>
      </c>
      <c r="AE111" s="872">
        <v>1642.616</v>
      </c>
      <c r="AF111" s="871">
        <v>540.18200000000002</v>
      </c>
      <c r="AG111" s="871">
        <v>568.07100000000003</v>
      </c>
      <c r="AH111" s="871">
        <v>562.30700000000002</v>
      </c>
      <c r="AI111" s="871">
        <v>567.13699999999994</v>
      </c>
      <c r="AJ111" s="872">
        <v>2237.6970000000001</v>
      </c>
      <c r="AK111" s="871">
        <v>630.47199999999998</v>
      </c>
      <c r="AL111" s="871">
        <v>677.13599999999997</v>
      </c>
      <c r="AM111" s="871">
        <v>741.43399999999997</v>
      </c>
      <c r="AN111" s="871">
        <v>746.39200000000005</v>
      </c>
      <c r="AO111" s="872">
        <v>2795.4340000000002</v>
      </c>
      <c r="AP111" s="871">
        <v>793.45299999999997</v>
      </c>
      <c r="AQ111" s="871">
        <v>785.36800000000005</v>
      </c>
      <c r="AR111" s="871">
        <v>789.38400000000001</v>
      </c>
      <c r="AS111" s="871">
        <f>AT111-SUM(AP111,AQ111,AR111)</f>
        <v>788.52199999999993</v>
      </c>
      <c r="AT111" s="872">
        <v>3156.7269999999999</v>
      </c>
      <c r="AU111" s="871">
        <v>836.64700000000005</v>
      </c>
      <c r="AV111" s="871">
        <v>860.88199999999995</v>
      </c>
      <c r="AW111" s="873">
        <v>915.29700000000003</v>
      </c>
      <c r="AX111" s="871">
        <f>AX102*AX106*3/1000</f>
        <v>942.4583665560001</v>
      </c>
      <c r="AY111" s="872">
        <f>SUM(AU111,AV111,AW111,AX111)</f>
        <v>3555.2843665560004</v>
      </c>
      <c r="AZ111" s="871">
        <f>AZ102*AZ106*3/1000</f>
        <v>970.77993686881541</v>
      </c>
      <c r="BA111" s="871">
        <f>BA102*BA106*3/1000</f>
        <v>990.29261359987879</v>
      </c>
      <c r="BB111" s="871">
        <f>BB102*BB106*3/1000</f>
        <v>1010.1974951332365</v>
      </c>
      <c r="BC111" s="871">
        <f>BC102*BC106*3/1000</f>
        <v>1030.5024647854145</v>
      </c>
      <c r="BD111" s="872">
        <f>SUM(AZ111,BA111,BB111,BC111)</f>
        <v>4001.7725103873454</v>
      </c>
      <c r="BE111" s="872">
        <f>BE102*BE106*12/1000</f>
        <v>4414.0340133040418</v>
      </c>
      <c r="BF111" s="872">
        <f>BF102*BF106*12/1000</f>
        <v>4912.8198568073994</v>
      </c>
      <c r="BG111" s="872">
        <f>BG102*BG106*12/1000</f>
        <v>5467.9685006266363</v>
      </c>
      <c r="BH111" s="824"/>
    </row>
    <row r="112" spans="1:60" s="58" customFormat="1" hidden="1" outlineLevel="1" x14ac:dyDescent="0.25">
      <c r="A112" s="838" t="s">
        <v>634</v>
      </c>
      <c r="B112" s="665"/>
      <c r="C112" s="796"/>
      <c r="D112" s="796"/>
      <c r="E112" s="796"/>
      <c r="F112" s="796"/>
      <c r="G112" s="163"/>
      <c r="H112" s="163"/>
      <c r="I112" s="163"/>
      <c r="J112" s="163"/>
      <c r="K112" s="796"/>
      <c r="L112" s="163"/>
      <c r="M112" s="163"/>
      <c r="N112" s="163"/>
      <c r="O112" s="163"/>
      <c r="P112" s="796"/>
      <c r="Q112" s="163"/>
      <c r="R112" s="163"/>
      <c r="S112" s="163"/>
      <c r="T112" s="163"/>
      <c r="U112" s="796"/>
      <c r="V112" s="163"/>
      <c r="W112" s="163"/>
      <c r="X112" s="163"/>
      <c r="Y112" s="163"/>
      <c r="Z112" s="796"/>
      <c r="AA112" s="163"/>
      <c r="AB112" s="648">
        <f>AB111/AA111-1</f>
        <v>0.1508690523241607</v>
      </c>
      <c r="AC112" s="648">
        <f>AC111/AB111-1</f>
        <v>0.13940685630696881</v>
      </c>
      <c r="AD112" s="648">
        <f>AD111/AC111-1</f>
        <v>0.13903556301005215</v>
      </c>
      <c r="AE112" s="796"/>
      <c r="AF112" s="648">
        <f>AF111/AD111-1</f>
        <v>9.1129079498330601E-2</v>
      </c>
      <c r="AG112" s="648">
        <f>AG111/AF111-1</f>
        <v>5.1628895446349521E-2</v>
      </c>
      <c r="AH112" s="648">
        <f>AH111/AG111-1</f>
        <v>-1.0146618996569101E-2</v>
      </c>
      <c r="AI112" s="648">
        <f>AI111/AH111-1</f>
        <v>8.5896138586216697E-3</v>
      </c>
      <c r="AJ112" s="796"/>
      <c r="AK112" s="648">
        <f>AK111/AI111-1</f>
        <v>0.11167495684464246</v>
      </c>
      <c r="AL112" s="648">
        <f>AL111/AK111-1</f>
        <v>7.4014389219505317E-2</v>
      </c>
      <c r="AM112" s="648">
        <f>AM111/AL111-1</f>
        <v>9.4955813898537356E-2</v>
      </c>
      <c r="AN112" s="648">
        <f>AN111/AM111-1</f>
        <v>6.6870415977686726E-3</v>
      </c>
      <c r="AO112" s="796"/>
      <c r="AP112" s="648">
        <f>AP111/AN111-1</f>
        <v>6.3051318878015739E-2</v>
      </c>
      <c r="AQ112" s="648">
        <f>AQ111/AP111-1</f>
        <v>-1.018963946194662E-2</v>
      </c>
      <c r="AR112" s="648">
        <f>AR111/AQ111-1</f>
        <v>5.1135263978159262E-3</v>
      </c>
      <c r="AS112" s="648">
        <f>AS111/AR111-1</f>
        <v>-1.0919907168122078E-3</v>
      </c>
      <c r="AT112" s="796"/>
      <c r="AU112" s="648">
        <f>AU111/AS111-1</f>
        <v>6.1031905260728436E-2</v>
      </c>
      <c r="AV112" s="648">
        <f>AV111/AU111-1</f>
        <v>2.8966816351460034E-2</v>
      </c>
      <c r="AW112" s="652">
        <f>AW111/AV111-1</f>
        <v>6.3208430423681961E-2</v>
      </c>
      <c r="AX112" s="648">
        <f>AX111/AW111-1</f>
        <v>2.9674921425504541E-2</v>
      </c>
      <c r="AY112" s="796"/>
      <c r="AZ112" s="648">
        <f>AZ111/AX111-1</f>
        <v>3.005073891625587E-2</v>
      </c>
      <c r="BA112" s="648">
        <f>BA111/AZ111-1</f>
        <v>2.0100000000000229E-2</v>
      </c>
      <c r="BB112" s="648">
        <f>BB111/BA111-1</f>
        <v>2.0100000000000229E-2</v>
      </c>
      <c r="BC112" s="648">
        <f>BC111/BB111-1</f>
        <v>2.0100000000000007E-2</v>
      </c>
      <c r="BD112" s="796"/>
      <c r="BE112" s="796"/>
      <c r="BF112" s="796"/>
      <c r="BG112" s="796"/>
      <c r="BH112" s="824"/>
    </row>
    <row r="113" spans="1:60" s="669" customFormat="1" hidden="1" outlineLevel="1" x14ac:dyDescent="0.25">
      <c r="A113" s="838" t="s">
        <v>632</v>
      </c>
      <c r="B113" s="670"/>
      <c r="C113" s="671"/>
      <c r="D113" s="671"/>
      <c r="E113" s="671"/>
      <c r="F113" s="671"/>
      <c r="G113" s="672"/>
      <c r="H113" s="672"/>
      <c r="I113" s="672"/>
      <c r="J113" s="672"/>
      <c r="K113" s="671"/>
      <c r="L113" s="672"/>
      <c r="M113" s="672"/>
      <c r="N113" s="672"/>
      <c r="O113" s="672"/>
      <c r="P113" s="671"/>
      <c r="Q113" s="672"/>
      <c r="R113" s="672"/>
      <c r="S113" s="672"/>
      <c r="T113" s="672"/>
      <c r="U113" s="671"/>
      <c r="V113" s="672"/>
      <c r="W113" s="672"/>
      <c r="X113" s="672"/>
      <c r="Y113" s="672"/>
      <c r="Z113" s="671"/>
      <c r="AA113" s="672"/>
      <c r="AB113" s="672"/>
      <c r="AC113" s="672"/>
      <c r="AD113" s="672"/>
      <c r="AE113" s="671"/>
      <c r="AF113" s="668">
        <f t="shared" ref="AF113:BD113" si="66">+AF111/AA111-1</f>
        <v>0.62973935972822703</v>
      </c>
      <c r="AG113" s="668">
        <f t="shared" si="66"/>
        <v>0.48920591728075635</v>
      </c>
      <c r="AH113" s="668">
        <f t="shared" si="66"/>
        <v>0.29373937331612354</v>
      </c>
      <c r="AI113" s="668">
        <f t="shared" si="66"/>
        <v>0.1455762553351363</v>
      </c>
      <c r="AJ113" s="673">
        <f t="shared" si="66"/>
        <v>0.36227639326537675</v>
      </c>
      <c r="AK113" s="668">
        <f t="shared" si="66"/>
        <v>0.167147368849758</v>
      </c>
      <c r="AL113" s="668">
        <f t="shared" si="66"/>
        <v>0.19199184608966124</v>
      </c>
      <c r="AM113" s="668">
        <f t="shared" si="66"/>
        <v>0.31855730054934406</v>
      </c>
      <c r="AN113" s="668">
        <f t="shared" si="66"/>
        <v>0.31607001482886865</v>
      </c>
      <c r="AO113" s="673">
        <f t="shared" si="66"/>
        <v>0.2492459881744491</v>
      </c>
      <c r="AP113" s="668">
        <f t="shared" si="66"/>
        <v>0.25850632541968555</v>
      </c>
      <c r="AQ113" s="668">
        <f t="shared" si="66"/>
        <v>0.15983790553153288</v>
      </c>
      <c r="AR113" s="668">
        <f t="shared" si="66"/>
        <v>6.4671973500001423E-2</v>
      </c>
      <c r="AS113" s="668">
        <f t="shared" si="66"/>
        <v>5.6444870791755308E-2</v>
      </c>
      <c r="AT113" s="673">
        <f t="shared" si="66"/>
        <v>0.12924397428091661</v>
      </c>
      <c r="AU113" s="668">
        <f t="shared" si="66"/>
        <v>5.44380070401147E-2</v>
      </c>
      <c r="AV113" s="668">
        <f t="shared" si="66"/>
        <v>9.6151103686424655E-2</v>
      </c>
      <c r="AW113" s="674">
        <f t="shared" si="66"/>
        <v>0.15950792009972337</v>
      </c>
      <c r="AX113" s="668">
        <f t="shared" si="66"/>
        <v>0.19522139719120091</v>
      </c>
      <c r="AY113" s="673">
        <f t="shared" si="66"/>
        <v>0.12625652029966505</v>
      </c>
      <c r="AZ113" s="668">
        <f t="shared" si="66"/>
        <v>0.16032201976319205</v>
      </c>
      <c r="BA113" s="668">
        <f t="shared" si="66"/>
        <v>0.15032328890588831</v>
      </c>
      <c r="BB113" s="668">
        <f t="shared" si="66"/>
        <v>0.10368273372821779</v>
      </c>
      <c r="BC113" s="668">
        <f t="shared" si="66"/>
        <v>9.3419615501055597E-2</v>
      </c>
      <c r="BD113" s="673">
        <f t="shared" si="66"/>
        <v>0.12558436901176973</v>
      </c>
      <c r="BE113" s="673">
        <f>+BE111/BD111-1</f>
        <v>0.10301972484607624</v>
      </c>
      <c r="BF113" s="673">
        <f>+BF111/BE111-1</f>
        <v>0.11300000000000021</v>
      </c>
      <c r="BG113" s="673">
        <f>+BG111/BF111-1</f>
        <v>0.11300000000000021</v>
      </c>
      <c r="BH113" s="668"/>
    </row>
    <row r="114" spans="1:60" s="57" customFormat="1" collapsed="1" x14ac:dyDescent="0.25">
      <c r="A114" s="481"/>
      <c r="B114" s="482"/>
      <c r="C114" s="547"/>
      <c r="D114" s="547"/>
      <c r="E114" s="547"/>
      <c r="F114" s="547"/>
      <c r="G114" s="483"/>
      <c r="H114" s="483"/>
      <c r="I114" s="483"/>
      <c r="J114" s="483"/>
      <c r="K114" s="547"/>
      <c r="L114" s="483"/>
      <c r="M114" s="483"/>
      <c r="N114" s="483"/>
      <c r="O114" s="483"/>
      <c r="P114" s="547"/>
      <c r="Q114" s="483"/>
      <c r="R114" s="483"/>
      <c r="S114" s="483"/>
      <c r="T114" s="483"/>
      <c r="U114" s="547"/>
      <c r="V114" s="483"/>
      <c r="W114" s="483"/>
      <c r="X114" s="483"/>
      <c r="Y114" s="483"/>
      <c r="Z114" s="547"/>
      <c r="AA114" s="483"/>
      <c r="AB114" s="483"/>
      <c r="AC114" s="483"/>
      <c r="AD114" s="483"/>
      <c r="AE114" s="547"/>
      <c r="AF114" s="483"/>
      <c r="AG114" s="483"/>
      <c r="AH114" s="483"/>
      <c r="AI114" s="483"/>
      <c r="AJ114" s="547"/>
      <c r="AK114" s="483"/>
      <c r="AL114" s="483"/>
      <c r="AM114" s="483"/>
      <c r="AN114" s="483"/>
      <c r="AO114" s="547"/>
      <c r="AP114" s="483"/>
      <c r="AQ114" s="483"/>
      <c r="AR114" s="483"/>
      <c r="AS114" s="483"/>
      <c r="AT114" s="547"/>
      <c r="AU114" s="483"/>
      <c r="AV114" s="483"/>
      <c r="AW114" s="571"/>
      <c r="AX114" s="483"/>
      <c r="AY114" s="547"/>
      <c r="AZ114" s="483"/>
      <c r="BA114" s="483"/>
      <c r="BB114" s="483"/>
      <c r="BC114" s="483"/>
      <c r="BD114" s="547"/>
      <c r="BE114" s="547"/>
      <c r="BF114" s="547"/>
      <c r="BG114" s="547"/>
      <c r="BH114" s="383"/>
    </row>
    <row r="115" spans="1:60" s="57" customFormat="1" x14ac:dyDescent="0.25">
      <c r="A115" s="819" t="s">
        <v>633</v>
      </c>
      <c r="B115" s="819"/>
      <c r="C115" s="861"/>
      <c r="D115" s="861"/>
      <c r="E115" s="861"/>
      <c r="F115" s="861"/>
      <c r="G115" s="861"/>
      <c r="H115" s="861"/>
      <c r="I115" s="861"/>
      <c r="J115" s="861"/>
      <c r="K115" s="861"/>
      <c r="L115" s="861"/>
      <c r="M115" s="861"/>
      <c r="N115" s="861"/>
      <c r="O115" s="861"/>
      <c r="P115" s="861"/>
      <c r="Q115" s="861"/>
      <c r="R115" s="861"/>
      <c r="S115" s="861"/>
      <c r="T115" s="861"/>
      <c r="U115" s="861"/>
      <c r="V115" s="861"/>
      <c r="W115" s="861"/>
      <c r="X115" s="861"/>
      <c r="Y115" s="861"/>
      <c r="Z115" s="861"/>
      <c r="AA115" s="861"/>
      <c r="AB115" s="861"/>
      <c r="AC115" s="861"/>
      <c r="AD115" s="861"/>
      <c r="AE115" s="861"/>
      <c r="AF115" s="861"/>
      <c r="AG115" s="861"/>
      <c r="AH115" s="861"/>
      <c r="AI115" s="861"/>
      <c r="AJ115" s="861"/>
      <c r="AK115" s="861"/>
      <c r="AL115" s="861"/>
      <c r="AM115" s="861"/>
      <c r="AN115" s="861"/>
      <c r="AO115" s="861"/>
      <c r="AP115" s="861"/>
      <c r="AQ115" s="861"/>
      <c r="AR115" s="861"/>
      <c r="AS115" s="861"/>
      <c r="AT115" s="861"/>
      <c r="AU115" s="861"/>
      <c r="AV115" s="861"/>
      <c r="AW115" s="862"/>
      <c r="AX115" s="861"/>
      <c r="AY115" s="861"/>
      <c r="AZ115" s="861"/>
      <c r="BA115" s="861"/>
      <c r="BB115" s="861"/>
      <c r="BC115" s="861"/>
      <c r="BD115" s="861"/>
      <c r="BE115" s="861"/>
      <c r="BF115" s="861"/>
      <c r="BG115" s="861"/>
      <c r="BH115" s="824"/>
    </row>
    <row r="116" spans="1:60" s="58" customFormat="1" hidden="1" outlineLevel="1" x14ac:dyDescent="0.25">
      <c r="A116" s="379" t="s">
        <v>747</v>
      </c>
      <c r="B116" s="487"/>
      <c r="C116" s="400"/>
      <c r="D116" s="400"/>
      <c r="E116" s="400"/>
      <c r="F116" s="400"/>
      <c r="G116" s="399"/>
      <c r="H116" s="399"/>
      <c r="I116" s="399"/>
      <c r="J116" s="399"/>
      <c r="K116" s="400"/>
      <c r="L116" s="399"/>
      <c r="M116" s="399"/>
      <c r="N116" s="399"/>
      <c r="O116" s="399"/>
      <c r="P116" s="400"/>
      <c r="Q116" s="399"/>
      <c r="R116" s="399"/>
      <c r="S116" s="399"/>
      <c r="T116" s="399"/>
      <c r="U116" s="400"/>
      <c r="V116" s="399"/>
      <c r="W116" s="399"/>
      <c r="X116" s="399"/>
      <c r="Y116" s="399"/>
      <c r="Z116" s="400"/>
      <c r="AA116" s="399">
        <f>AA122*2-AA118</f>
        <v>4142</v>
      </c>
      <c r="AB116" s="399">
        <f>AA118</f>
        <v>4664</v>
      </c>
      <c r="AC116" s="399">
        <f>AB118</f>
        <v>5254</v>
      </c>
      <c r="AD116" s="399">
        <f>AC118</f>
        <v>5842</v>
      </c>
      <c r="AE116" s="400">
        <f>AA116</f>
        <v>4142</v>
      </c>
      <c r="AF116" s="89">
        <f>AE118</f>
        <v>6501</v>
      </c>
      <c r="AG116" s="89">
        <f>AF118</f>
        <v>7394</v>
      </c>
      <c r="AH116" s="89">
        <f>AG118</f>
        <v>8372</v>
      </c>
      <c r="AI116" s="89">
        <f>AH118</f>
        <v>9461</v>
      </c>
      <c r="AJ116" s="377">
        <f>AE118</f>
        <v>6501</v>
      </c>
      <c r="AK116" s="89">
        <f>AJ118</f>
        <v>10607</v>
      </c>
      <c r="AL116" s="89">
        <f>AK118</f>
        <v>12141</v>
      </c>
      <c r="AM116" s="89">
        <f>AL118</f>
        <v>12942</v>
      </c>
      <c r="AN116" s="89">
        <f>AM118</f>
        <v>14485</v>
      </c>
      <c r="AO116" s="377">
        <f>AJ118</f>
        <v>10607</v>
      </c>
      <c r="AP116" s="89">
        <f>AO118</f>
        <v>16233</v>
      </c>
      <c r="AQ116" s="89">
        <f>AP118</f>
        <v>19835</v>
      </c>
      <c r="AR116" s="89">
        <f>AQ118</f>
        <v>22492</v>
      </c>
      <c r="AS116" s="89">
        <f>AR118</f>
        <v>23504</v>
      </c>
      <c r="AT116" s="377">
        <f>AO118</f>
        <v>16233</v>
      </c>
      <c r="AU116" s="89">
        <f>AT118</f>
        <v>25492</v>
      </c>
      <c r="AV116" s="89">
        <f>AU118</f>
        <v>26853</v>
      </c>
      <c r="AW116" s="647">
        <f>AV118</f>
        <v>27875</v>
      </c>
      <c r="AX116" s="89">
        <f>AW118</f>
        <v>30051</v>
      </c>
      <c r="AY116" s="377">
        <f>AT118</f>
        <v>25492</v>
      </c>
      <c r="AZ116" s="89">
        <f>AY118</f>
        <v>33356.61</v>
      </c>
      <c r="BA116" s="89">
        <f>AZ118</f>
        <v>35358.006600000001</v>
      </c>
      <c r="BB116" s="89">
        <f>BA118</f>
        <v>37479.486996</v>
      </c>
      <c r="BC116" s="89">
        <f>BB118</f>
        <v>39728.256215759997</v>
      </c>
      <c r="BD116" s="377">
        <f>AY118</f>
        <v>33356.61</v>
      </c>
      <c r="BE116" s="377">
        <f>BD118</f>
        <v>42509.234150863202</v>
      </c>
      <c r="BF116" s="377">
        <f>BE118</f>
        <v>53136.542688579</v>
      </c>
      <c r="BG116" s="377">
        <f>BF118</f>
        <v>64826.582080066379</v>
      </c>
      <c r="BH116" s="89"/>
    </row>
    <row r="117" spans="1:60" s="57" customFormat="1" hidden="1" outlineLevel="1" x14ac:dyDescent="0.25">
      <c r="A117" s="401" t="s">
        <v>635</v>
      </c>
      <c r="B117" s="488"/>
      <c r="C117" s="548"/>
      <c r="D117" s="548"/>
      <c r="E117" s="548"/>
      <c r="F117" s="548"/>
      <c r="G117" s="489"/>
      <c r="H117" s="489"/>
      <c r="I117" s="489"/>
      <c r="J117" s="489"/>
      <c r="K117" s="548"/>
      <c r="L117" s="489"/>
      <c r="M117" s="489"/>
      <c r="N117" s="489"/>
      <c r="O117" s="489"/>
      <c r="P117" s="548"/>
      <c r="Q117" s="489"/>
      <c r="R117" s="489"/>
      <c r="S117" s="489"/>
      <c r="T117" s="489"/>
      <c r="U117" s="548"/>
      <c r="V117" s="489"/>
      <c r="W117" s="489"/>
      <c r="X117" s="489"/>
      <c r="Y117" s="489"/>
      <c r="Z117" s="548"/>
      <c r="AA117" s="489">
        <f>AA118-AA116</f>
        <v>522</v>
      </c>
      <c r="AB117" s="489">
        <f>AB118-AB116</f>
        <v>590</v>
      </c>
      <c r="AC117" s="489">
        <f>AC118-AC116</f>
        <v>588</v>
      </c>
      <c r="AD117" s="489">
        <f>AD118-AD116</f>
        <v>659</v>
      </c>
      <c r="AE117" s="548">
        <f>SUM(AA117,AB117,AC117,AD117)</f>
        <v>2359</v>
      </c>
      <c r="AF117" s="403">
        <f>AF118-AF116</f>
        <v>893</v>
      </c>
      <c r="AG117" s="403">
        <f>AG118-AG116</f>
        <v>978</v>
      </c>
      <c r="AH117" s="403">
        <f>AH118-AH116</f>
        <v>1089</v>
      </c>
      <c r="AI117" s="403">
        <f>AI118-AI116</f>
        <v>1146</v>
      </c>
      <c r="AJ117" s="402">
        <f>SUM(AF117,AG117,AH117,AI117)</f>
        <v>4106</v>
      </c>
      <c r="AK117" s="403">
        <f>AK118-AK116</f>
        <v>1534</v>
      </c>
      <c r="AL117" s="403">
        <f>AL118-AL116</f>
        <v>801</v>
      </c>
      <c r="AM117" s="403">
        <f>AM118-AM116</f>
        <v>1543</v>
      </c>
      <c r="AN117" s="403">
        <f>AN118-AN116</f>
        <v>1748</v>
      </c>
      <c r="AO117" s="402">
        <f>SUM(AK117,AL117,AM117,AN117)</f>
        <v>5626</v>
      </c>
      <c r="AP117" s="403">
        <f>AP118-AP116</f>
        <v>3602</v>
      </c>
      <c r="AQ117" s="403">
        <f>AQ118-AQ116</f>
        <v>2657</v>
      </c>
      <c r="AR117" s="403">
        <f>AR118-AR116</f>
        <v>1012</v>
      </c>
      <c r="AS117" s="403">
        <f>AS118-AS116</f>
        <v>1988</v>
      </c>
      <c r="AT117" s="402">
        <f>SUM(AP117,AQ117,AR117,AS117)</f>
        <v>9259</v>
      </c>
      <c r="AU117" s="403">
        <f>AU118-AU116</f>
        <v>1361</v>
      </c>
      <c r="AV117" s="403">
        <f>AV118-AV116</f>
        <v>1022</v>
      </c>
      <c r="AW117" s="675">
        <f>AW118-AW116</f>
        <v>2176</v>
      </c>
      <c r="AX117" s="403">
        <f>AX119*AX116</f>
        <v>3305.61</v>
      </c>
      <c r="AY117" s="402">
        <f>SUM(AU117,AV117,AW117,AX117)</f>
        <v>7864.6100000000006</v>
      </c>
      <c r="AZ117" s="403">
        <f>AZ119*AZ116</f>
        <v>2001.3966</v>
      </c>
      <c r="BA117" s="403">
        <f>BA119*BA116</f>
        <v>2121.4803959999999</v>
      </c>
      <c r="BB117" s="403">
        <f>BB119*BB116</f>
        <v>2248.7692197599999</v>
      </c>
      <c r="BC117" s="403">
        <f>BC119*BC116</f>
        <v>2780.9779351032003</v>
      </c>
      <c r="BD117" s="402">
        <f>SUM(AZ117,BA117,BB117,BC117)</f>
        <v>9152.6241508632011</v>
      </c>
      <c r="BE117" s="402">
        <f>BE120*BE116</f>
        <v>10627.3085377158</v>
      </c>
      <c r="BF117" s="402">
        <f>BF120*BF116</f>
        <v>11690.03939148738</v>
      </c>
      <c r="BG117" s="402">
        <f>BG120*BG116</f>
        <v>14261.848057614603</v>
      </c>
      <c r="BH117" s="280"/>
    </row>
    <row r="118" spans="1:60" s="58" customFormat="1" hidden="1" outlineLevel="1" x14ac:dyDescent="0.25">
      <c r="A118" s="379" t="s">
        <v>748</v>
      </c>
      <c r="B118" s="487"/>
      <c r="C118" s="400"/>
      <c r="D118" s="400"/>
      <c r="E118" s="400"/>
      <c r="F118" s="400"/>
      <c r="G118" s="399"/>
      <c r="H118" s="399"/>
      <c r="I118" s="399"/>
      <c r="J118" s="399"/>
      <c r="K118" s="400"/>
      <c r="L118" s="399"/>
      <c r="M118" s="399"/>
      <c r="N118" s="399"/>
      <c r="O118" s="399"/>
      <c r="P118" s="400"/>
      <c r="Q118" s="399"/>
      <c r="R118" s="399"/>
      <c r="S118" s="399"/>
      <c r="T118" s="399"/>
      <c r="U118" s="400"/>
      <c r="V118" s="399"/>
      <c r="W118" s="399"/>
      <c r="X118" s="399"/>
      <c r="Y118" s="399"/>
      <c r="Z118" s="400"/>
      <c r="AA118" s="89">
        <v>4664</v>
      </c>
      <c r="AB118" s="89">
        <v>5254</v>
      </c>
      <c r="AC118" s="89">
        <v>5842</v>
      </c>
      <c r="AD118" s="89">
        <v>6501</v>
      </c>
      <c r="AE118" s="377">
        <f>SUM(AE116:AE117)</f>
        <v>6501</v>
      </c>
      <c r="AF118" s="89">
        <v>7394</v>
      </c>
      <c r="AG118" s="89">
        <v>8372</v>
      </c>
      <c r="AH118" s="89">
        <v>9461</v>
      </c>
      <c r="AI118" s="89">
        <v>10607</v>
      </c>
      <c r="AJ118" s="377">
        <f>SUM(AJ116:AJ117)</f>
        <v>10607</v>
      </c>
      <c r="AK118" s="89">
        <v>12141</v>
      </c>
      <c r="AL118" s="89">
        <v>12942</v>
      </c>
      <c r="AM118" s="89">
        <v>14485</v>
      </c>
      <c r="AN118" s="89">
        <v>16233</v>
      </c>
      <c r="AO118" s="377">
        <f>SUM(AO116:AO117)</f>
        <v>16233</v>
      </c>
      <c r="AP118" s="89">
        <v>19835</v>
      </c>
      <c r="AQ118" s="89">
        <v>22492</v>
      </c>
      <c r="AR118" s="89">
        <v>23504</v>
      </c>
      <c r="AS118" s="89">
        <v>25492</v>
      </c>
      <c r="AT118" s="377">
        <f>SUM(AT116:AT117)</f>
        <v>25492</v>
      </c>
      <c r="AU118" s="89">
        <v>26853</v>
      </c>
      <c r="AV118" s="89">
        <v>27875</v>
      </c>
      <c r="AW118" s="647">
        <v>30051</v>
      </c>
      <c r="AX118" s="89">
        <f t="shared" ref="AX118:BG118" si="67">SUM(AX116:AX117)</f>
        <v>33356.61</v>
      </c>
      <c r="AY118" s="377">
        <f t="shared" si="67"/>
        <v>33356.61</v>
      </c>
      <c r="AZ118" s="89">
        <f t="shared" si="67"/>
        <v>35358.006600000001</v>
      </c>
      <c r="BA118" s="89">
        <f t="shared" si="67"/>
        <v>37479.486996</v>
      </c>
      <c r="BB118" s="89">
        <f t="shared" si="67"/>
        <v>39728.256215759997</v>
      </c>
      <c r="BC118" s="89">
        <f t="shared" si="67"/>
        <v>42509.234150863194</v>
      </c>
      <c r="BD118" s="377">
        <f t="shared" si="67"/>
        <v>42509.234150863202</v>
      </c>
      <c r="BE118" s="377">
        <f t="shared" si="67"/>
        <v>53136.542688579</v>
      </c>
      <c r="BF118" s="377">
        <f t="shared" si="67"/>
        <v>64826.582080066379</v>
      </c>
      <c r="BG118" s="377">
        <f t="shared" si="67"/>
        <v>79088.430137680989</v>
      </c>
      <c r="BH118" s="89"/>
    </row>
    <row r="119" spans="1:60" s="58" customFormat="1" hidden="1" outlineLevel="1" x14ac:dyDescent="0.25">
      <c r="A119" s="651" t="s">
        <v>636</v>
      </c>
      <c r="B119" s="650"/>
      <c r="C119" s="796"/>
      <c r="D119" s="796"/>
      <c r="E119" s="796"/>
      <c r="F119" s="796"/>
      <c r="G119" s="163"/>
      <c r="H119" s="163"/>
      <c r="I119" s="163"/>
      <c r="J119" s="163"/>
      <c r="K119" s="796"/>
      <c r="L119" s="163"/>
      <c r="M119" s="163"/>
      <c r="N119" s="163"/>
      <c r="O119" s="163"/>
      <c r="P119" s="796"/>
      <c r="Q119" s="163"/>
      <c r="R119" s="163"/>
      <c r="S119" s="163"/>
      <c r="T119" s="163"/>
      <c r="U119" s="796"/>
      <c r="V119" s="163"/>
      <c r="W119" s="163"/>
      <c r="X119" s="163"/>
      <c r="Y119" s="163"/>
      <c r="Z119" s="796"/>
      <c r="AA119" s="163"/>
      <c r="AB119" s="648">
        <f>AB118/AA118-1</f>
        <v>0.12650085763293317</v>
      </c>
      <c r="AC119" s="648">
        <f>AC118/AB118-1</f>
        <v>0.11191473163304155</v>
      </c>
      <c r="AD119" s="648">
        <f>AD118/AC118-1</f>
        <v>0.11280383430332086</v>
      </c>
      <c r="AE119" s="796"/>
      <c r="AF119" s="648">
        <f>AF118/AD118-1</f>
        <v>0.13736348254114761</v>
      </c>
      <c r="AG119" s="648">
        <f>AG118/AF118-1</f>
        <v>0.13226940762780637</v>
      </c>
      <c r="AH119" s="648">
        <f>AH118/AG118-1</f>
        <v>0.13007644529383655</v>
      </c>
      <c r="AI119" s="648">
        <f>AI118/AH118-1</f>
        <v>0.12112884473100105</v>
      </c>
      <c r="AJ119" s="796"/>
      <c r="AK119" s="648">
        <f>AK118/AI118-1</f>
        <v>0.1446214763835203</v>
      </c>
      <c r="AL119" s="648">
        <f>AL118/AK118-1</f>
        <v>6.597479614529278E-2</v>
      </c>
      <c r="AM119" s="648">
        <f>AM118/AL118-1</f>
        <v>0.11922423118528824</v>
      </c>
      <c r="AN119" s="648">
        <f>AN118/AM118-1</f>
        <v>0.12067656196064891</v>
      </c>
      <c r="AO119" s="796"/>
      <c r="AP119" s="648">
        <f>AP118/AN118-1</f>
        <v>0.22189367338138366</v>
      </c>
      <c r="AQ119" s="648">
        <f>AQ118/AP118-1</f>
        <v>0.13395512982102353</v>
      </c>
      <c r="AR119" s="648">
        <f>AR118/AQ118-1</f>
        <v>4.4993775564645233E-2</v>
      </c>
      <c r="AS119" s="648">
        <f>AS118/AR118-1</f>
        <v>8.4581347855684053E-2</v>
      </c>
      <c r="AT119" s="796"/>
      <c r="AU119" s="648">
        <f>AU118/AS118-1</f>
        <v>5.3389298603483404E-2</v>
      </c>
      <c r="AV119" s="648">
        <f>AV118/AU118-1</f>
        <v>3.8059062302163715E-2</v>
      </c>
      <c r="AW119" s="652">
        <f>AW118/AV118-1</f>
        <v>7.8062780269058329E-2</v>
      </c>
      <c r="AX119" s="653">
        <v>0.11</v>
      </c>
      <c r="AY119" s="796"/>
      <c r="AZ119" s="653">
        <v>0.06</v>
      </c>
      <c r="BA119" s="653">
        <v>0.06</v>
      </c>
      <c r="BB119" s="653">
        <v>0.06</v>
      </c>
      <c r="BC119" s="653">
        <v>7.0000000000000007E-2</v>
      </c>
      <c r="BD119" s="796"/>
      <c r="BE119" s="796"/>
      <c r="BF119" s="796"/>
      <c r="BG119" s="796"/>
      <c r="BH119" s="89"/>
    </row>
    <row r="120" spans="1:60" s="649" customFormat="1" hidden="1" outlineLevel="1" x14ac:dyDescent="0.25">
      <c r="A120" s="834" t="s">
        <v>637</v>
      </c>
      <c r="B120" s="643"/>
      <c r="C120" s="165"/>
      <c r="D120" s="165"/>
      <c r="E120" s="165"/>
      <c r="F120" s="165"/>
      <c r="G120" s="474"/>
      <c r="H120" s="474"/>
      <c r="I120" s="474"/>
      <c r="J120" s="474"/>
      <c r="K120" s="165"/>
      <c r="L120" s="474"/>
      <c r="M120" s="474"/>
      <c r="N120" s="474"/>
      <c r="O120" s="474"/>
      <c r="P120" s="165"/>
      <c r="Q120" s="474"/>
      <c r="R120" s="474"/>
      <c r="S120" s="474"/>
      <c r="T120" s="474"/>
      <c r="U120" s="165"/>
      <c r="V120" s="474"/>
      <c r="W120" s="474"/>
      <c r="X120" s="474"/>
      <c r="Y120" s="474"/>
      <c r="Z120" s="165"/>
      <c r="AA120" s="474"/>
      <c r="AB120" s="474"/>
      <c r="AC120" s="474"/>
      <c r="AD120" s="474"/>
      <c r="AE120" s="165"/>
      <c r="AF120" s="474">
        <f t="shared" ref="AF120:BD120" si="68">+AF118/AA118-1</f>
        <v>0.58533447684391082</v>
      </c>
      <c r="AG120" s="474">
        <f t="shared" si="68"/>
        <v>0.59345260753711448</v>
      </c>
      <c r="AH120" s="474">
        <f t="shared" si="68"/>
        <v>0.61947963026360831</v>
      </c>
      <c r="AI120" s="474">
        <f t="shared" si="68"/>
        <v>0.6315951392093524</v>
      </c>
      <c r="AJ120" s="165">
        <f t="shared" si="68"/>
        <v>0.6315951392093524</v>
      </c>
      <c r="AK120" s="474">
        <f t="shared" si="68"/>
        <v>0.64200703272923998</v>
      </c>
      <c r="AL120" s="474">
        <f t="shared" si="68"/>
        <v>0.54586717630195891</v>
      </c>
      <c r="AM120" s="474">
        <f t="shared" si="68"/>
        <v>0.53102209068808803</v>
      </c>
      <c r="AN120" s="474">
        <f t="shared" si="68"/>
        <v>0.53040444989158098</v>
      </c>
      <c r="AO120" s="165">
        <f t="shared" si="68"/>
        <v>0.53040444989158098</v>
      </c>
      <c r="AP120" s="474">
        <f t="shared" si="68"/>
        <v>0.63372045136314958</v>
      </c>
      <c r="AQ120" s="474">
        <f t="shared" si="68"/>
        <v>0.7379075876989647</v>
      </c>
      <c r="AR120" s="474">
        <f t="shared" si="68"/>
        <v>0.62264411460131175</v>
      </c>
      <c r="AS120" s="474">
        <f t="shared" si="68"/>
        <v>0.57038132199839842</v>
      </c>
      <c r="AT120" s="165">
        <f t="shared" si="68"/>
        <v>0.57038132199839842</v>
      </c>
      <c r="AU120" s="474">
        <f t="shared" si="68"/>
        <v>0.35381900680615064</v>
      </c>
      <c r="AV120" s="474">
        <f t="shared" si="68"/>
        <v>0.23932953939178381</v>
      </c>
      <c r="AW120" s="598">
        <f t="shared" si="68"/>
        <v>0.27854833219877473</v>
      </c>
      <c r="AX120" s="436">
        <f t="shared" si="68"/>
        <v>0.3085128667817354</v>
      </c>
      <c r="AY120" s="435">
        <f t="shared" si="68"/>
        <v>0.3085128667817354</v>
      </c>
      <c r="AZ120" s="436">
        <f t="shared" si="68"/>
        <v>0.3167246341190928</v>
      </c>
      <c r="BA120" s="436">
        <f t="shared" si="68"/>
        <v>0.34455558730044844</v>
      </c>
      <c r="BB120" s="436">
        <f t="shared" si="68"/>
        <v>0.32202775999999989</v>
      </c>
      <c r="BC120" s="436">
        <f t="shared" si="68"/>
        <v>0.27438711999999987</v>
      </c>
      <c r="BD120" s="435">
        <f t="shared" si="68"/>
        <v>0.2743871200000001</v>
      </c>
      <c r="BE120" s="438">
        <v>0.25</v>
      </c>
      <c r="BF120" s="438">
        <v>0.22</v>
      </c>
      <c r="BG120" s="438">
        <v>0.22</v>
      </c>
      <c r="BH120" s="648"/>
    </row>
    <row r="121" spans="1:60" s="753" customFormat="1" ht="7.5" hidden="1" customHeight="1" outlineLevel="1" x14ac:dyDescent="0.25">
      <c r="A121" s="807"/>
      <c r="B121" s="808"/>
      <c r="C121" s="547"/>
      <c r="D121" s="547"/>
      <c r="E121" s="547"/>
      <c r="F121" s="547"/>
      <c r="G121" s="483"/>
      <c r="H121" s="483"/>
      <c r="I121" s="483"/>
      <c r="J121" s="483"/>
      <c r="K121" s="547"/>
      <c r="L121" s="483"/>
      <c r="M121" s="483"/>
      <c r="N121" s="483"/>
      <c r="O121" s="483"/>
      <c r="P121" s="547"/>
      <c r="Q121" s="483"/>
      <c r="R121" s="483"/>
      <c r="S121" s="483"/>
      <c r="T121" s="483"/>
      <c r="U121" s="547"/>
      <c r="V121" s="483"/>
      <c r="W121" s="483"/>
      <c r="X121" s="483"/>
      <c r="Y121" s="483"/>
      <c r="Z121" s="547"/>
      <c r="AA121" s="483"/>
      <c r="AB121" s="483"/>
      <c r="AC121" s="483"/>
      <c r="AD121" s="483"/>
      <c r="AE121" s="547"/>
      <c r="AF121" s="483"/>
      <c r="AG121" s="483"/>
      <c r="AH121" s="483"/>
      <c r="AI121" s="483"/>
      <c r="AJ121" s="547"/>
      <c r="AK121" s="483"/>
      <c r="AL121" s="483"/>
      <c r="AM121" s="483"/>
      <c r="AN121" s="483"/>
      <c r="AO121" s="547"/>
      <c r="AP121" s="483"/>
      <c r="AQ121" s="483"/>
      <c r="AR121" s="483"/>
      <c r="AS121" s="483"/>
      <c r="AT121" s="547"/>
      <c r="AU121" s="483"/>
      <c r="AV121" s="483"/>
      <c r="AW121" s="571"/>
      <c r="AX121" s="810"/>
      <c r="AY121" s="809"/>
      <c r="AZ121" s="810"/>
      <c r="BA121" s="810"/>
      <c r="BB121" s="810"/>
      <c r="BC121" s="810"/>
      <c r="BD121" s="809"/>
      <c r="BE121" s="809"/>
      <c r="BF121" s="809"/>
      <c r="BG121" s="809"/>
      <c r="BH121" s="811"/>
    </row>
    <row r="122" spans="1:60" s="376" customFormat="1" hidden="1" outlineLevel="1" x14ac:dyDescent="0.25">
      <c r="A122" s="500" t="s">
        <v>722</v>
      </c>
      <c r="B122" s="804"/>
      <c r="C122" s="555"/>
      <c r="D122" s="555"/>
      <c r="E122" s="555"/>
      <c r="F122" s="555"/>
      <c r="G122" s="502"/>
      <c r="H122" s="502"/>
      <c r="I122" s="502"/>
      <c r="J122" s="502"/>
      <c r="K122" s="555"/>
      <c r="L122" s="502"/>
      <c r="M122" s="502"/>
      <c r="N122" s="502"/>
      <c r="O122" s="502"/>
      <c r="P122" s="555"/>
      <c r="Q122" s="502"/>
      <c r="R122" s="502"/>
      <c r="S122" s="502"/>
      <c r="T122" s="502"/>
      <c r="U122" s="555"/>
      <c r="V122" s="502"/>
      <c r="W122" s="502"/>
      <c r="X122" s="502"/>
      <c r="Y122" s="502"/>
      <c r="Z122" s="555"/>
      <c r="AA122" s="502">
        <v>4403</v>
      </c>
      <c r="AB122" s="502">
        <f>AVERAGE(AB118,AB116)</f>
        <v>4959</v>
      </c>
      <c r="AC122" s="502">
        <f>AVERAGE(AC118,AC116)</f>
        <v>5548</v>
      </c>
      <c r="AD122" s="502">
        <f>AVERAGE(AD118,AD116)</f>
        <v>6171.5</v>
      </c>
      <c r="AE122" s="555">
        <f>AVERAGE(AA122,AB122,AC122,AD122)</f>
        <v>5270.375</v>
      </c>
      <c r="AF122" s="502">
        <f>AVERAGE(AF118,AF116)</f>
        <v>6947.5</v>
      </c>
      <c r="AG122" s="502">
        <f>AVERAGE(AG118,AG116)</f>
        <v>7883</v>
      </c>
      <c r="AH122" s="502">
        <f>AVERAGE(AH118,AH116)</f>
        <v>8916.5</v>
      </c>
      <c r="AI122" s="502">
        <f>AVERAGE(AI118,AI116)</f>
        <v>10034</v>
      </c>
      <c r="AJ122" s="555">
        <f>AVERAGE(AF122,AG122,AH122,AI122)</f>
        <v>8445.25</v>
      </c>
      <c r="AK122" s="502">
        <f>AVERAGE(AK118,AK116)</f>
        <v>11374</v>
      </c>
      <c r="AL122" s="502">
        <f>AVERAGE(AL118,AL116)</f>
        <v>12541.5</v>
      </c>
      <c r="AM122" s="502">
        <f>AVERAGE(AM118,AM116)</f>
        <v>13713.5</v>
      </c>
      <c r="AN122" s="502">
        <f>AVERAGE(AN118,AN116)</f>
        <v>15359</v>
      </c>
      <c r="AO122" s="555">
        <f>AVERAGE(AK122,AL122,AM122,AN122)</f>
        <v>13247</v>
      </c>
      <c r="AP122" s="502">
        <f>AVERAGE(AP118,AP116)</f>
        <v>18034</v>
      </c>
      <c r="AQ122" s="502">
        <f>AVERAGE(AQ118,AQ116)</f>
        <v>21163.5</v>
      </c>
      <c r="AR122" s="502">
        <f>AVERAGE(AR118,AR116)</f>
        <v>22998</v>
      </c>
      <c r="AS122" s="502">
        <f>AVERAGE(AS118,AS116)</f>
        <v>24498</v>
      </c>
      <c r="AT122" s="555">
        <f>AVERAGE(AP122,AQ122,AR122,AS122)</f>
        <v>21673.375</v>
      </c>
      <c r="AU122" s="502">
        <f>AVERAGE(AU118,AU116)</f>
        <v>26172.5</v>
      </c>
      <c r="AV122" s="502">
        <f>AVERAGE(AV118,AV116)</f>
        <v>27364</v>
      </c>
      <c r="AW122" s="635">
        <f>AVERAGE(AW118,AW116)</f>
        <v>28963</v>
      </c>
      <c r="AX122" s="502">
        <f>AVERAGE(AX118,AX116)</f>
        <v>31703.805</v>
      </c>
      <c r="AY122" s="555">
        <f>AVERAGE(AU122,AV122,AW122,AX122)</f>
        <v>28550.826249999998</v>
      </c>
      <c r="AZ122" s="502">
        <f>AVERAGE(AZ118,AZ116)</f>
        <v>34357.308300000004</v>
      </c>
      <c r="BA122" s="502">
        <f>AVERAGE(BA118,BA116)</f>
        <v>36418.746798</v>
      </c>
      <c r="BB122" s="502">
        <f>AVERAGE(BB118,BB116)</f>
        <v>38603.871605879998</v>
      </c>
      <c r="BC122" s="502">
        <f>AVERAGE(BC118,BC116)</f>
        <v>41118.745183311592</v>
      </c>
      <c r="BD122" s="555">
        <f>AVERAGE(AZ122,BA122,BB122,BC122)</f>
        <v>37624.667971797899</v>
      </c>
      <c r="BE122" s="555">
        <f>AVERAGE(BE118,BE116)</f>
        <v>47822.888419721101</v>
      </c>
      <c r="BF122" s="555">
        <f>AVERAGE(BF118,BF116)</f>
        <v>58981.562384322693</v>
      </c>
      <c r="BG122" s="555">
        <f>AVERAGE(BG118,BG116)</f>
        <v>71957.506108873684</v>
      </c>
      <c r="BH122" s="280"/>
    </row>
    <row r="123" spans="1:60" s="376" customFormat="1" hidden="1" outlineLevel="1" x14ac:dyDescent="0.25">
      <c r="A123" s="681" t="s">
        <v>723</v>
      </c>
      <c r="B123" s="754"/>
      <c r="C123" s="165"/>
      <c r="D123" s="165"/>
      <c r="E123" s="165"/>
      <c r="F123" s="165"/>
      <c r="G123" s="474"/>
      <c r="H123" s="474"/>
      <c r="I123" s="474"/>
      <c r="J123" s="474"/>
      <c r="K123" s="165"/>
      <c r="L123" s="474"/>
      <c r="M123" s="474"/>
      <c r="N123" s="474"/>
      <c r="O123" s="474"/>
      <c r="P123" s="165"/>
      <c r="Q123" s="474"/>
      <c r="R123" s="474"/>
      <c r="S123" s="474"/>
      <c r="T123" s="474"/>
      <c r="U123" s="165"/>
      <c r="V123" s="474"/>
      <c r="W123" s="474"/>
      <c r="X123" s="474"/>
      <c r="Y123" s="474"/>
      <c r="Z123" s="165"/>
      <c r="AA123" s="474"/>
      <c r="AB123" s="474">
        <f>AB122/AA122-1</f>
        <v>0.12627753804224384</v>
      </c>
      <c r="AC123" s="474">
        <f>AC122/AB122-1</f>
        <v>0.11877394636015315</v>
      </c>
      <c r="AD123" s="474">
        <f>AD122/AC122-1</f>
        <v>0.11238284066330206</v>
      </c>
      <c r="AE123" s="165"/>
      <c r="AF123" s="474">
        <f>AF122/AD122-1</f>
        <v>0.12573928542493729</v>
      </c>
      <c r="AG123" s="474">
        <f>AG122/AF122-1</f>
        <v>0.13465275278877287</v>
      </c>
      <c r="AH123" s="474">
        <f>AH122/AG122-1</f>
        <v>0.13110490929849039</v>
      </c>
      <c r="AI123" s="474">
        <f>AI122/AH122-1</f>
        <v>0.12532944541019453</v>
      </c>
      <c r="AJ123" s="165"/>
      <c r="AK123" s="474">
        <f>AK122/AI122-1</f>
        <v>0.13354594379111018</v>
      </c>
      <c r="AL123" s="474">
        <f>AL122/AK122-1</f>
        <v>0.10264638649551605</v>
      </c>
      <c r="AM123" s="474">
        <f>AM122/AL122-1</f>
        <v>9.3449746840489567E-2</v>
      </c>
      <c r="AN123" s="474">
        <f>AN122/AM122-1</f>
        <v>0.11999124949866924</v>
      </c>
      <c r="AO123" s="165"/>
      <c r="AP123" s="474">
        <f>AP122/AN122-1</f>
        <v>0.17416498469952479</v>
      </c>
      <c r="AQ123" s="474">
        <f>AQ122/AP122-1</f>
        <v>0.17353332593989124</v>
      </c>
      <c r="AR123" s="474">
        <f>AR122/AQ122-1</f>
        <v>8.668225955064135E-2</v>
      </c>
      <c r="AS123" s="474">
        <f>AS122/AR122-1</f>
        <v>6.5223062875032545E-2</v>
      </c>
      <c r="AT123" s="165"/>
      <c r="AU123" s="474">
        <f>AU122/AS122-1</f>
        <v>6.8352518572944776E-2</v>
      </c>
      <c r="AV123" s="474">
        <f>AV122/AU122-1</f>
        <v>4.5524882987868942E-2</v>
      </c>
      <c r="AW123" s="598">
        <f>AW122/AV122-1</f>
        <v>5.8434439409443151E-2</v>
      </c>
      <c r="AX123" s="474">
        <f>AX122/AW122-1</f>
        <v>9.463125366847347E-2</v>
      </c>
      <c r="AY123" s="165"/>
      <c r="AZ123" s="474">
        <f>AZ122/AX122-1</f>
        <v>8.3696682464455163E-2</v>
      </c>
      <c r="BA123" s="474">
        <f>BA122/AZ122-1</f>
        <v>5.9999999999999831E-2</v>
      </c>
      <c r="BB123" s="474">
        <f>BB122/BA122-1</f>
        <v>6.0000000000000053E-2</v>
      </c>
      <c r="BC123" s="474">
        <f>BC122/BB122-1</f>
        <v>6.5145631067961007E-2</v>
      </c>
      <c r="BD123" s="165"/>
      <c r="BE123" s="165"/>
      <c r="BF123" s="165"/>
      <c r="BG123" s="165"/>
      <c r="BH123" s="89"/>
    </row>
    <row r="124" spans="1:60" s="57" customFormat="1" hidden="1" outlineLevel="1" x14ac:dyDescent="0.25">
      <c r="A124" s="834" t="s">
        <v>724</v>
      </c>
      <c r="B124" s="643"/>
      <c r="C124" s="165"/>
      <c r="D124" s="165"/>
      <c r="E124" s="165"/>
      <c r="F124" s="165"/>
      <c r="G124" s="474"/>
      <c r="H124" s="474"/>
      <c r="I124" s="474"/>
      <c r="J124" s="474"/>
      <c r="K124" s="165"/>
      <c r="L124" s="474"/>
      <c r="M124" s="474"/>
      <c r="N124" s="474"/>
      <c r="O124" s="474"/>
      <c r="P124" s="165"/>
      <c r="Q124" s="474"/>
      <c r="R124" s="474"/>
      <c r="S124" s="474"/>
      <c r="T124" s="474"/>
      <c r="U124" s="165"/>
      <c r="V124" s="474"/>
      <c r="W124" s="474"/>
      <c r="X124" s="474"/>
      <c r="Y124" s="474"/>
      <c r="Z124" s="165"/>
      <c r="AA124" s="474"/>
      <c r="AB124" s="474"/>
      <c r="AC124" s="474"/>
      <c r="AD124" s="474"/>
      <c r="AE124" s="165"/>
      <c r="AF124" s="474">
        <f t="shared" ref="AF124:BD124" si="69">AF122/AA122-1</f>
        <v>0.57790143084260737</v>
      </c>
      <c r="AG124" s="474">
        <f t="shared" si="69"/>
        <v>0.58963500705787464</v>
      </c>
      <c r="AH124" s="474">
        <f t="shared" si="69"/>
        <v>0.60715573179524163</v>
      </c>
      <c r="AI124" s="474">
        <f t="shared" si="69"/>
        <v>0.62586081179615971</v>
      </c>
      <c r="AJ124" s="165">
        <f t="shared" si="69"/>
        <v>0.60240020871380118</v>
      </c>
      <c r="AK124" s="474">
        <f t="shared" si="69"/>
        <v>0.63713566030946378</v>
      </c>
      <c r="AL124" s="474">
        <f t="shared" si="69"/>
        <v>0.5909552200938728</v>
      </c>
      <c r="AM124" s="474">
        <f t="shared" si="69"/>
        <v>0.53799136432456685</v>
      </c>
      <c r="AN124" s="474">
        <f t="shared" si="69"/>
        <v>0.53069563484153881</v>
      </c>
      <c r="AO124" s="165">
        <f t="shared" si="69"/>
        <v>0.56857405050176135</v>
      </c>
      <c r="AP124" s="474">
        <f t="shared" si="69"/>
        <v>0.58554598206435737</v>
      </c>
      <c r="AQ124" s="474">
        <f t="shared" si="69"/>
        <v>0.68747757445281654</v>
      </c>
      <c r="AR124" s="474">
        <f t="shared" si="69"/>
        <v>0.67703358004885694</v>
      </c>
      <c r="AS124" s="474">
        <f t="shared" si="69"/>
        <v>0.59502571782017055</v>
      </c>
      <c r="AT124" s="165">
        <f t="shared" si="69"/>
        <v>0.63609685211746059</v>
      </c>
      <c r="AU124" s="474">
        <f t="shared" si="69"/>
        <v>0.45128645891094599</v>
      </c>
      <c r="AV124" s="474">
        <f t="shared" si="69"/>
        <v>0.29298083965317656</v>
      </c>
      <c r="AW124" s="598">
        <f t="shared" si="69"/>
        <v>0.25937038003304624</v>
      </c>
      <c r="AX124" s="474">
        <f t="shared" si="69"/>
        <v>0.29413850110213069</v>
      </c>
      <c r="AY124" s="165">
        <f t="shared" si="69"/>
        <v>0.31732257897074168</v>
      </c>
      <c r="AZ124" s="474">
        <f t="shared" si="69"/>
        <v>0.31272550577896663</v>
      </c>
      <c r="BA124" s="474">
        <f t="shared" si="69"/>
        <v>0.3308999706914193</v>
      </c>
      <c r="BB124" s="474">
        <f t="shared" si="69"/>
        <v>0.33286854282636469</v>
      </c>
      <c r="BC124" s="474">
        <f t="shared" si="69"/>
        <v>0.29696562236966795</v>
      </c>
      <c r="BD124" s="165">
        <f t="shared" si="69"/>
        <v>0.31781362971230642</v>
      </c>
      <c r="BE124" s="165">
        <f>BE122/BD122-1</f>
        <v>0.27105144038925277</v>
      </c>
      <c r="BF124" s="165">
        <f>BF122/BE122-1</f>
        <v>0.23333333333333339</v>
      </c>
      <c r="BG124" s="165">
        <f>BG122/BF122-1</f>
        <v>0.21999999999999997</v>
      </c>
      <c r="BH124" s="648"/>
    </row>
    <row r="125" spans="1:60" s="753" customFormat="1" ht="7.5" hidden="1" customHeight="1" outlineLevel="1" x14ac:dyDescent="0.25">
      <c r="A125" s="807"/>
      <c r="B125" s="808"/>
      <c r="C125" s="547"/>
      <c r="D125" s="547"/>
      <c r="E125" s="547"/>
      <c r="F125" s="547"/>
      <c r="G125" s="483"/>
      <c r="H125" s="483"/>
      <c r="I125" s="483"/>
      <c r="J125" s="483"/>
      <c r="K125" s="547"/>
      <c r="L125" s="483"/>
      <c r="M125" s="483"/>
      <c r="N125" s="483"/>
      <c r="O125" s="483"/>
      <c r="P125" s="547"/>
      <c r="Q125" s="483"/>
      <c r="R125" s="483"/>
      <c r="S125" s="483"/>
      <c r="T125" s="483"/>
      <c r="U125" s="547"/>
      <c r="V125" s="483"/>
      <c r="W125" s="483"/>
      <c r="X125" s="483"/>
      <c r="Y125" s="483"/>
      <c r="Z125" s="547"/>
      <c r="AA125" s="483"/>
      <c r="AB125" s="483"/>
      <c r="AC125" s="483"/>
      <c r="AD125" s="483"/>
      <c r="AE125" s="547"/>
      <c r="AF125" s="483"/>
      <c r="AG125" s="483"/>
      <c r="AH125" s="483"/>
      <c r="AI125" s="483"/>
      <c r="AJ125" s="547"/>
      <c r="AK125" s="483"/>
      <c r="AL125" s="483"/>
      <c r="AM125" s="483"/>
      <c r="AN125" s="483"/>
      <c r="AO125" s="547"/>
      <c r="AP125" s="483"/>
      <c r="AQ125" s="483"/>
      <c r="AR125" s="483"/>
      <c r="AS125" s="483"/>
      <c r="AT125" s="547"/>
      <c r="AU125" s="483"/>
      <c r="AV125" s="483"/>
      <c r="AW125" s="571"/>
      <c r="AX125" s="810"/>
      <c r="AY125" s="809"/>
      <c r="AZ125" s="810"/>
      <c r="BA125" s="810"/>
      <c r="BB125" s="810"/>
      <c r="BC125" s="810"/>
      <c r="BD125" s="809"/>
      <c r="BE125" s="809"/>
      <c r="BF125" s="809"/>
      <c r="BG125" s="809"/>
      <c r="BH125" s="811"/>
    </row>
    <row r="126" spans="1:60" s="58" customFormat="1" hidden="1" outlineLevel="1" x14ac:dyDescent="0.25">
      <c r="A126" s="663" t="s">
        <v>457</v>
      </c>
      <c r="B126" s="491"/>
      <c r="C126" s="99"/>
      <c r="D126" s="99"/>
      <c r="E126" s="99"/>
      <c r="F126" s="99"/>
      <c r="G126" s="188"/>
      <c r="H126" s="188"/>
      <c r="I126" s="188"/>
      <c r="J126" s="188"/>
      <c r="K126" s="99"/>
      <c r="L126" s="188"/>
      <c r="M126" s="188"/>
      <c r="N126" s="188"/>
      <c r="O126" s="188"/>
      <c r="P126" s="99"/>
      <c r="Q126" s="188"/>
      <c r="R126" s="188"/>
      <c r="S126" s="188"/>
      <c r="T126" s="188"/>
      <c r="U126" s="99"/>
      <c r="V126" s="188"/>
      <c r="W126" s="188"/>
      <c r="X126" s="188"/>
      <c r="Y126" s="188"/>
      <c r="Z126" s="99"/>
      <c r="AA126" s="83">
        <v>8.81</v>
      </c>
      <c r="AB126" s="83">
        <v>8.86</v>
      </c>
      <c r="AC126" s="83">
        <v>9.07</v>
      </c>
      <c r="AD126" s="83">
        <v>9.5500000000000007</v>
      </c>
      <c r="AE126" s="18">
        <v>9.11</v>
      </c>
      <c r="AF126" s="83">
        <v>9.5500000000000007</v>
      </c>
      <c r="AG126" s="83">
        <v>9.36</v>
      </c>
      <c r="AH126" s="83">
        <v>9.3000000000000007</v>
      </c>
      <c r="AI126" s="83">
        <v>9.19</v>
      </c>
      <c r="AJ126" s="18">
        <v>9.33</v>
      </c>
      <c r="AK126" s="83">
        <v>9.3699999999999992</v>
      </c>
      <c r="AL126" s="83">
        <v>9.2899999999999991</v>
      </c>
      <c r="AM126" s="83">
        <v>9.2899999999999991</v>
      </c>
      <c r="AN126" s="83">
        <v>9.07</v>
      </c>
      <c r="AO126" s="18">
        <v>9.24</v>
      </c>
      <c r="AP126" s="83">
        <v>8.94</v>
      </c>
      <c r="AQ126" s="83">
        <v>8.9600000000000009</v>
      </c>
      <c r="AR126" s="83">
        <v>9.1999999999999993</v>
      </c>
      <c r="AS126" s="83">
        <v>9.32</v>
      </c>
      <c r="AT126" s="18">
        <v>9.1199999999999992</v>
      </c>
      <c r="AU126" s="83">
        <v>9.7100000000000009</v>
      </c>
      <c r="AV126" s="83">
        <v>9.74</v>
      </c>
      <c r="AW126" s="641">
        <v>9.6</v>
      </c>
      <c r="AX126" s="83">
        <f>AW126*(1+AX127)</f>
        <v>9.5039999999999996</v>
      </c>
      <c r="AY126" s="18">
        <f>AVERAGE(AU126,AV126,AW126,AX126)</f>
        <v>9.6385000000000005</v>
      </c>
      <c r="AZ126" s="83">
        <f>AX126*(1+AZ127)</f>
        <v>9.5515199999999982</v>
      </c>
      <c r="BA126" s="83">
        <f>AZ126*(1+BA127)</f>
        <v>9.5992775999999971</v>
      </c>
      <c r="BB126" s="83">
        <f>BA126*(1+BB127)</f>
        <v>9.6472739879999967</v>
      </c>
      <c r="BC126" s="83">
        <f>BB126*(1+BC127)</f>
        <v>9.6955103579399964</v>
      </c>
      <c r="BD126" s="18">
        <f>AVERAGE(AZ126,BA126,BB126,BC126)</f>
        <v>9.6233954864849967</v>
      </c>
      <c r="BE126" s="18">
        <f>+BD126*(1+BE129)</f>
        <v>9.6715124639174199</v>
      </c>
      <c r="BF126" s="18">
        <f>+BE126*(1+BF129)</f>
        <v>9.7198700262370057</v>
      </c>
      <c r="BG126" s="18">
        <f>+BF126*(1+BG129)</f>
        <v>9.7684693763681896</v>
      </c>
      <c r="BH126" s="83"/>
    </row>
    <row r="127" spans="1:60" s="58" customFormat="1" hidden="1" outlineLevel="1" x14ac:dyDescent="0.25">
      <c r="A127" s="666" t="s">
        <v>639</v>
      </c>
      <c r="B127" s="667"/>
      <c r="C127" s="796"/>
      <c r="D127" s="796"/>
      <c r="E127" s="796"/>
      <c r="F127" s="796"/>
      <c r="G127" s="163"/>
      <c r="H127" s="163"/>
      <c r="I127" s="163"/>
      <c r="J127" s="163"/>
      <c r="K127" s="796"/>
      <c r="L127" s="163"/>
      <c r="M127" s="163"/>
      <c r="N127" s="163"/>
      <c r="O127" s="163"/>
      <c r="P127" s="796"/>
      <c r="Q127" s="163"/>
      <c r="R127" s="163"/>
      <c r="S127" s="163"/>
      <c r="T127" s="163"/>
      <c r="U127" s="796"/>
      <c r="V127" s="163"/>
      <c r="W127" s="163"/>
      <c r="X127" s="163"/>
      <c r="Y127" s="163"/>
      <c r="Z127" s="796"/>
      <c r="AA127" s="163"/>
      <c r="AB127" s="648">
        <f>AB126/AA126-1</f>
        <v>5.6753688989783502E-3</v>
      </c>
      <c r="AC127" s="648">
        <f>AC126/AB126-1</f>
        <v>2.3702031602709006E-2</v>
      </c>
      <c r="AD127" s="648">
        <f>AD126/AC126-1</f>
        <v>5.2921719955898672E-2</v>
      </c>
      <c r="AE127" s="796"/>
      <c r="AF127" s="648">
        <f>AF126/AD126-1</f>
        <v>0</v>
      </c>
      <c r="AG127" s="648">
        <f>AG126/AF126-1</f>
        <v>-1.9895287958115349E-2</v>
      </c>
      <c r="AH127" s="648">
        <f>AH126/AG126-1</f>
        <v>-6.4102564102562765E-3</v>
      </c>
      <c r="AI127" s="648">
        <f>AI126/AH126-1</f>
        <v>-1.1827956989247435E-2</v>
      </c>
      <c r="AJ127" s="796"/>
      <c r="AK127" s="648">
        <f>AK126/AI126-1</f>
        <v>1.9586507072905324E-2</v>
      </c>
      <c r="AL127" s="648">
        <f>AL126/AK126-1</f>
        <v>-8.5378868729989454E-3</v>
      </c>
      <c r="AM127" s="648">
        <f>AM126/AL126-1</f>
        <v>0</v>
      </c>
      <c r="AN127" s="648">
        <f>AN126/AM126-1</f>
        <v>-2.3681377825618855E-2</v>
      </c>
      <c r="AO127" s="796"/>
      <c r="AP127" s="648">
        <f>AP126/AN126-1</f>
        <v>-1.4332965821389321E-2</v>
      </c>
      <c r="AQ127" s="648">
        <f>AQ126/AP126-1</f>
        <v>2.2371364653246406E-3</v>
      </c>
      <c r="AR127" s="648">
        <f>AR126/AQ126-1</f>
        <v>2.6785714285714191E-2</v>
      </c>
      <c r="AS127" s="648">
        <f>AS126/AR126-1</f>
        <v>1.3043478260869712E-2</v>
      </c>
      <c r="AT127" s="796"/>
      <c r="AU127" s="648">
        <f>AU126/AS126-1</f>
        <v>4.1845493562231884E-2</v>
      </c>
      <c r="AV127" s="648">
        <f>AV126/AU126-1</f>
        <v>3.0895983522141179E-3</v>
      </c>
      <c r="AW127" s="652">
        <f>AW126/AV126-1</f>
        <v>-1.4373716632443578E-2</v>
      </c>
      <c r="AX127" s="653">
        <v>-0.01</v>
      </c>
      <c r="AY127" s="796"/>
      <c r="AZ127" s="653">
        <v>5.0000000000000001E-3</v>
      </c>
      <c r="BA127" s="653">
        <v>5.0000000000000001E-3</v>
      </c>
      <c r="BB127" s="653">
        <v>5.0000000000000001E-3</v>
      </c>
      <c r="BC127" s="653">
        <v>5.0000000000000001E-3</v>
      </c>
      <c r="BD127" s="796"/>
      <c r="BE127" s="796"/>
      <c r="BF127" s="796"/>
      <c r="BG127" s="796"/>
      <c r="BH127" s="83"/>
    </row>
    <row r="128" spans="1:60" s="649" customFormat="1" hidden="1" outlineLevel="1" x14ac:dyDescent="0.25">
      <c r="A128" s="151" t="s">
        <v>664</v>
      </c>
      <c r="B128" s="654"/>
      <c r="C128" s="796"/>
      <c r="D128" s="796"/>
      <c r="E128" s="796"/>
      <c r="F128" s="796"/>
      <c r="G128" s="163"/>
      <c r="H128" s="163"/>
      <c r="I128" s="163"/>
      <c r="J128" s="163"/>
      <c r="K128" s="796"/>
      <c r="L128" s="163"/>
      <c r="M128" s="163"/>
      <c r="N128" s="163"/>
      <c r="O128" s="163"/>
      <c r="P128" s="796"/>
      <c r="Q128" s="163"/>
      <c r="R128" s="163"/>
      <c r="S128" s="163"/>
      <c r="T128" s="163"/>
      <c r="U128" s="796"/>
      <c r="V128" s="163"/>
      <c r="W128" s="163"/>
      <c r="X128" s="163"/>
      <c r="Y128" s="163"/>
      <c r="Z128" s="796"/>
      <c r="AA128" s="648">
        <v>0.06</v>
      </c>
      <c r="AB128" s="648">
        <v>0.02</v>
      </c>
      <c r="AC128" s="648">
        <v>0.02</v>
      </c>
      <c r="AD128" s="648">
        <v>7.0000000000000007E-2</v>
      </c>
      <c r="AE128" s="817">
        <v>0.04</v>
      </c>
      <c r="AF128" s="648">
        <v>0.04</v>
      </c>
      <c r="AG128" s="648">
        <v>0.03</v>
      </c>
      <c r="AH128" s="648">
        <v>0.05</v>
      </c>
      <c r="AI128" s="648">
        <v>0.02</v>
      </c>
      <c r="AJ128" s="817">
        <v>0.03</v>
      </c>
      <c r="AK128" s="648">
        <v>0.03</v>
      </c>
      <c r="AL128" s="648">
        <v>0.05</v>
      </c>
      <c r="AM128" s="648">
        <v>0.03</v>
      </c>
      <c r="AN128" s="648">
        <v>0</v>
      </c>
      <c r="AO128" s="817">
        <v>0.03</v>
      </c>
      <c r="AP128" s="648">
        <v>-0.03</v>
      </c>
      <c r="AQ128" s="648">
        <v>0.01</v>
      </c>
      <c r="AR128" s="648">
        <v>-0.01</v>
      </c>
      <c r="AS128" s="648">
        <v>0</v>
      </c>
      <c r="AT128" s="817">
        <v>-0.01</v>
      </c>
      <c r="AU128" s="648">
        <v>0.03</v>
      </c>
      <c r="AV128" s="648">
        <v>0.01</v>
      </c>
      <c r="AW128" s="652">
        <v>0.02</v>
      </c>
      <c r="AX128" s="163"/>
      <c r="AY128" s="796"/>
      <c r="AZ128" s="163"/>
      <c r="BA128" s="163"/>
      <c r="BB128" s="163"/>
      <c r="BC128" s="163"/>
      <c r="BD128" s="796"/>
      <c r="BE128" s="796"/>
      <c r="BF128" s="796"/>
      <c r="BG128" s="796"/>
      <c r="BH128" s="648"/>
    </row>
    <row r="129" spans="1:60" s="649" customFormat="1" hidden="1" outlineLevel="1" x14ac:dyDescent="0.25">
      <c r="A129" s="664" t="s">
        <v>638</v>
      </c>
      <c r="B129" s="643"/>
      <c r="C129" s="165"/>
      <c r="D129" s="165"/>
      <c r="E129" s="165"/>
      <c r="F129" s="165"/>
      <c r="G129" s="474"/>
      <c r="H129" s="474"/>
      <c r="I129" s="474"/>
      <c r="J129" s="474"/>
      <c r="K129" s="165"/>
      <c r="L129" s="474"/>
      <c r="M129" s="474"/>
      <c r="N129" s="474"/>
      <c r="O129" s="474"/>
      <c r="P129" s="165"/>
      <c r="Q129" s="474"/>
      <c r="R129" s="474"/>
      <c r="S129" s="474"/>
      <c r="T129" s="474"/>
      <c r="U129" s="165"/>
      <c r="V129" s="474"/>
      <c r="W129" s="474"/>
      <c r="X129" s="474"/>
      <c r="Y129" s="474"/>
      <c r="Z129" s="165"/>
      <c r="AA129" s="474"/>
      <c r="AB129" s="474"/>
      <c r="AC129" s="474"/>
      <c r="AD129" s="474"/>
      <c r="AE129" s="165"/>
      <c r="AF129" s="474">
        <f t="shared" ref="AF129:BD129" si="70">+AF126/AA126-1</f>
        <v>8.399545970488087E-2</v>
      </c>
      <c r="AG129" s="474">
        <f t="shared" si="70"/>
        <v>5.6433408577878152E-2</v>
      </c>
      <c r="AH129" s="474">
        <f t="shared" si="70"/>
        <v>2.535832414553485E-2</v>
      </c>
      <c r="AI129" s="474">
        <f t="shared" si="70"/>
        <v>-3.7696335078534204E-2</v>
      </c>
      <c r="AJ129" s="165">
        <f t="shared" si="70"/>
        <v>2.4149286498353462E-2</v>
      </c>
      <c r="AK129" s="474">
        <f t="shared" si="70"/>
        <v>-1.8848167539267213E-2</v>
      </c>
      <c r="AL129" s="474">
        <f t="shared" si="70"/>
        <v>-7.4786324786325631E-3</v>
      </c>
      <c r="AM129" s="474">
        <f t="shared" si="70"/>
        <v>-1.0752688172044333E-3</v>
      </c>
      <c r="AN129" s="474">
        <f t="shared" si="70"/>
        <v>-1.3057671381936808E-2</v>
      </c>
      <c r="AO129" s="165">
        <f t="shared" si="70"/>
        <v>-9.6463022508038732E-3</v>
      </c>
      <c r="AP129" s="474">
        <f t="shared" si="70"/>
        <v>-4.5891141942369207E-2</v>
      </c>
      <c r="AQ129" s="474">
        <f t="shared" si="70"/>
        <v>-3.5522066738428282E-2</v>
      </c>
      <c r="AR129" s="474">
        <f t="shared" si="70"/>
        <v>-9.687836383207693E-3</v>
      </c>
      <c r="AS129" s="474">
        <f t="shared" si="70"/>
        <v>2.7563395810363822E-2</v>
      </c>
      <c r="AT129" s="165">
        <f t="shared" si="70"/>
        <v>-1.2987012987013102E-2</v>
      </c>
      <c r="AU129" s="474">
        <f t="shared" si="70"/>
        <v>8.6129753914989005E-2</v>
      </c>
      <c r="AV129" s="474">
        <f t="shared" si="70"/>
        <v>8.7053571428571397E-2</v>
      </c>
      <c r="AW129" s="598">
        <f t="shared" si="70"/>
        <v>4.3478260869565188E-2</v>
      </c>
      <c r="AX129" s="436">
        <f t="shared" si="70"/>
        <v>1.9742489270386132E-2</v>
      </c>
      <c r="AY129" s="435">
        <f t="shared" si="70"/>
        <v>5.6853070175438836E-2</v>
      </c>
      <c r="AZ129" s="436">
        <f t="shared" si="70"/>
        <v>-1.6321318228630588E-2</v>
      </c>
      <c r="BA129" s="436">
        <f t="shared" si="70"/>
        <v>-1.4447885010267281E-2</v>
      </c>
      <c r="BB129" s="436">
        <f t="shared" si="70"/>
        <v>4.9243737499997664E-3</v>
      </c>
      <c r="BC129" s="436">
        <f t="shared" si="70"/>
        <v>2.0150500624999568E-2</v>
      </c>
      <c r="BD129" s="435">
        <f t="shared" si="70"/>
        <v>-1.5671020921309564E-3</v>
      </c>
      <c r="BE129" s="438">
        <v>5.0000000000000001E-3</v>
      </c>
      <c r="BF129" s="438">
        <v>5.0000000000000001E-3</v>
      </c>
      <c r="BG129" s="438">
        <v>5.0000000000000001E-3</v>
      </c>
      <c r="BH129" s="648"/>
    </row>
    <row r="130" spans="1:60" s="753" customFormat="1" ht="7.5" hidden="1" customHeight="1" outlineLevel="1" x14ac:dyDescent="0.25">
      <c r="A130" s="807"/>
      <c r="B130" s="808"/>
      <c r="C130" s="547"/>
      <c r="D130" s="547"/>
      <c r="E130" s="547"/>
      <c r="F130" s="547"/>
      <c r="G130" s="483"/>
      <c r="H130" s="483"/>
      <c r="I130" s="483"/>
      <c r="J130" s="483"/>
      <c r="K130" s="547"/>
      <c r="L130" s="483"/>
      <c r="M130" s="483"/>
      <c r="N130" s="483"/>
      <c r="O130" s="483"/>
      <c r="P130" s="547"/>
      <c r="Q130" s="483"/>
      <c r="R130" s="483"/>
      <c r="S130" s="483"/>
      <c r="T130" s="483"/>
      <c r="U130" s="547"/>
      <c r="V130" s="483"/>
      <c r="W130" s="483"/>
      <c r="X130" s="483"/>
      <c r="Y130" s="483"/>
      <c r="Z130" s="547"/>
      <c r="AA130" s="483"/>
      <c r="AB130" s="483"/>
      <c r="AC130" s="483"/>
      <c r="AD130" s="483"/>
      <c r="AE130" s="547"/>
      <c r="AF130" s="483"/>
      <c r="AG130" s="483"/>
      <c r="AH130" s="483"/>
      <c r="AI130" s="483"/>
      <c r="AJ130" s="547"/>
      <c r="AK130" s="483"/>
      <c r="AL130" s="483"/>
      <c r="AM130" s="483"/>
      <c r="AN130" s="483"/>
      <c r="AO130" s="547"/>
      <c r="AP130" s="483"/>
      <c r="AQ130" s="483"/>
      <c r="AR130" s="483"/>
      <c r="AS130" s="483"/>
      <c r="AT130" s="547"/>
      <c r="AU130" s="483"/>
      <c r="AV130" s="483"/>
      <c r="AW130" s="571"/>
      <c r="AX130" s="810"/>
      <c r="AY130" s="809"/>
      <c r="AZ130" s="810"/>
      <c r="BA130" s="810"/>
      <c r="BB130" s="810"/>
      <c r="BC130" s="810"/>
      <c r="BD130" s="809"/>
      <c r="BE130" s="809"/>
      <c r="BF130" s="809"/>
      <c r="BG130" s="809"/>
      <c r="BH130" s="811"/>
    </row>
    <row r="131" spans="1:60" s="58" customFormat="1" hidden="1" outlineLevel="1" x14ac:dyDescent="0.25">
      <c r="A131" s="61" t="s">
        <v>447</v>
      </c>
      <c r="B131" s="492"/>
      <c r="C131" s="869"/>
      <c r="D131" s="869"/>
      <c r="E131" s="869"/>
      <c r="F131" s="869"/>
      <c r="G131" s="870"/>
      <c r="H131" s="870"/>
      <c r="I131" s="870"/>
      <c r="J131" s="870"/>
      <c r="K131" s="869"/>
      <c r="L131" s="870"/>
      <c r="M131" s="870"/>
      <c r="N131" s="870"/>
      <c r="O131" s="870"/>
      <c r="P131" s="869"/>
      <c r="Q131" s="870"/>
      <c r="R131" s="870"/>
      <c r="S131" s="870"/>
      <c r="T131" s="870"/>
      <c r="U131" s="869"/>
      <c r="V131" s="870"/>
      <c r="W131" s="870"/>
      <c r="X131" s="870"/>
      <c r="Y131" s="870"/>
      <c r="Z131" s="869"/>
      <c r="AA131" s="871">
        <v>116.339</v>
      </c>
      <c r="AB131" s="871">
        <v>131.773</v>
      </c>
      <c r="AC131" s="871">
        <v>150.99299999999999</v>
      </c>
      <c r="AD131" s="871">
        <v>176.82300000000001</v>
      </c>
      <c r="AE131" s="872">
        <v>575.928</v>
      </c>
      <c r="AF131" s="871">
        <v>199.11699999999999</v>
      </c>
      <c r="AG131" s="871">
        <v>221.25200000000001</v>
      </c>
      <c r="AH131" s="871">
        <v>248.691</v>
      </c>
      <c r="AI131" s="871">
        <v>276.75599999999997</v>
      </c>
      <c r="AJ131" s="872">
        <v>945.81600000000003</v>
      </c>
      <c r="AK131" s="871">
        <v>319.60199999999998</v>
      </c>
      <c r="AL131" s="871">
        <v>349.49400000000003</v>
      </c>
      <c r="AM131" s="871">
        <v>382.30399999999997</v>
      </c>
      <c r="AN131" s="871">
        <v>418.12099999999998</v>
      </c>
      <c r="AO131" s="872">
        <v>1469.5210000000002</v>
      </c>
      <c r="AP131" s="871">
        <v>483.66</v>
      </c>
      <c r="AQ131" s="871">
        <v>569.14</v>
      </c>
      <c r="AR131" s="871">
        <v>634.89099999999996</v>
      </c>
      <c r="AS131" s="871">
        <f>AT131-SUM(AP131,AQ131,AR131)</f>
        <v>684.60900000000038</v>
      </c>
      <c r="AT131" s="872">
        <v>2372.3000000000002</v>
      </c>
      <c r="AU131" s="871">
        <v>762.41399999999999</v>
      </c>
      <c r="AV131" s="871">
        <v>799.48</v>
      </c>
      <c r="AW131" s="873">
        <v>834.00199999999995</v>
      </c>
      <c r="AX131" s="871">
        <f>AX122*AX126*3/1000</f>
        <v>903.93888816000003</v>
      </c>
      <c r="AY131" s="872">
        <f>SUM(AU131,AV131,AW131,AX131)</f>
        <v>3299.8348881599995</v>
      </c>
      <c r="AZ131" s="871">
        <f>AZ122*AZ126*3/1000</f>
        <v>984.49355212084799</v>
      </c>
      <c r="BA131" s="871">
        <f>BA122*BA126*3/1000</f>
        <v>1048.780981074339</v>
      </c>
      <c r="BB131" s="871">
        <f>BB122*BB126*3/1000</f>
        <v>1117.2663791384932</v>
      </c>
      <c r="BC131" s="871">
        <f>BC122*BC126*3/1000</f>
        <v>1196.0016594908786</v>
      </c>
      <c r="BD131" s="872">
        <f>SUM(AZ131,BA131,BB131,BC131)</f>
        <v>4346.5425718245588</v>
      </c>
      <c r="BE131" s="872">
        <f>BE122*BE126*12/1000</f>
        <v>5550.2359369423766</v>
      </c>
      <c r="BF131" s="872">
        <f>BF122*BF126*12/1000</f>
        <v>6879.5174438400736</v>
      </c>
      <c r="BG131" s="872">
        <f>BG122*BG126*12/1000</f>
        <v>8434.9763378923144</v>
      </c>
      <c r="BH131" s="824"/>
    </row>
    <row r="132" spans="1:60" s="58" customFormat="1" hidden="1" outlineLevel="1" x14ac:dyDescent="0.25">
      <c r="A132" s="838" t="s">
        <v>749</v>
      </c>
      <c r="B132" s="665"/>
      <c r="C132" s="796"/>
      <c r="D132" s="796"/>
      <c r="E132" s="796"/>
      <c r="F132" s="796"/>
      <c r="G132" s="163"/>
      <c r="H132" s="163"/>
      <c r="I132" s="163"/>
      <c r="J132" s="163"/>
      <c r="K132" s="796"/>
      <c r="L132" s="163"/>
      <c r="M132" s="163"/>
      <c r="N132" s="163"/>
      <c r="O132" s="163"/>
      <c r="P132" s="796"/>
      <c r="Q132" s="163"/>
      <c r="R132" s="163"/>
      <c r="S132" s="163"/>
      <c r="T132" s="163"/>
      <c r="U132" s="796"/>
      <c r="V132" s="163"/>
      <c r="W132" s="163"/>
      <c r="X132" s="163"/>
      <c r="Y132" s="163"/>
      <c r="Z132" s="796"/>
      <c r="AA132" s="163"/>
      <c r="AB132" s="648">
        <f>AB131/AA131-1</f>
        <v>0.13266402496153473</v>
      </c>
      <c r="AC132" s="648">
        <f>AC131/AB131-1</f>
        <v>0.14585689025824711</v>
      </c>
      <c r="AD132" s="648">
        <f>AD131/AC131-1</f>
        <v>0.1710675329319904</v>
      </c>
      <c r="AE132" s="796"/>
      <c r="AF132" s="648">
        <f>AF131/AD131-1</f>
        <v>0.12608088314303001</v>
      </c>
      <c r="AG132" s="648">
        <f>AG131/AF131-1</f>
        <v>0.11116579699372742</v>
      </c>
      <c r="AH132" s="648">
        <f>AH131/AG131-1</f>
        <v>0.12401695803879731</v>
      </c>
      <c r="AI132" s="648">
        <f>AI131/AH131-1</f>
        <v>0.11285088724561798</v>
      </c>
      <c r="AJ132" s="796"/>
      <c r="AK132" s="648">
        <f>AK131/AI131-1</f>
        <v>0.1548150717599619</v>
      </c>
      <c r="AL132" s="648">
        <f>AL131/AK131-1</f>
        <v>9.3528826477932148E-2</v>
      </c>
      <c r="AM132" s="648">
        <f>AM131/AL131-1</f>
        <v>9.3878578745271613E-2</v>
      </c>
      <c r="AN132" s="648">
        <f>AN131/AM131-1</f>
        <v>9.3687222733740638E-2</v>
      </c>
      <c r="AO132" s="796"/>
      <c r="AP132" s="648">
        <f>AP131/AN131-1</f>
        <v>0.15674649204416924</v>
      </c>
      <c r="AQ132" s="648">
        <f>AQ131/AP131-1</f>
        <v>0.17673572344208743</v>
      </c>
      <c r="AR132" s="648">
        <f>AR131/AQ131-1</f>
        <v>0.11552693537618164</v>
      </c>
      <c r="AS132" s="648">
        <f>AS131/AR131-1</f>
        <v>7.8309505096151089E-2</v>
      </c>
      <c r="AT132" s="796"/>
      <c r="AU132" s="648">
        <f>AU131/AS131-1</f>
        <v>0.11364881267993776</v>
      </c>
      <c r="AV132" s="648">
        <f>AV131/AU131-1</f>
        <v>4.8616630859349419E-2</v>
      </c>
      <c r="AW132" s="652">
        <f>AW131/AV131-1</f>
        <v>4.3180567368789724E-2</v>
      </c>
      <c r="AX132" s="648">
        <f>AX131/AW131-1</f>
        <v>8.3856978952088879E-2</v>
      </c>
      <c r="AY132" s="796"/>
      <c r="AZ132" s="648">
        <f>AZ131/AX131-1</f>
        <v>8.9115165876777258E-2</v>
      </c>
      <c r="BA132" s="648">
        <f>BA131/AZ131-1</f>
        <v>6.5299999999999692E-2</v>
      </c>
      <c r="BB132" s="648">
        <f>BB131/BA131-1</f>
        <v>6.5299999999999914E-2</v>
      </c>
      <c r="BC132" s="648">
        <f>BC131/BB131-1</f>
        <v>7.0471359223300833E-2</v>
      </c>
      <c r="BD132" s="796"/>
      <c r="BE132" s="796"/>
      <c r="BF132" s="796"/>
      <c r="BG132" s="796"/>
      <c r="BH132" s="824"/>
    </row>
    <row r="133" spans="1:60" s="649" customFormat="1" hidden="1" outlineLevel="1" x14ac:dyDescent="0.25">
      <c r="A133" s="838" t="s">
        <v>640</v>
      </c>
      <c r="B133" s="643"/>
      <c r="C133" s="165"/>
      <c r="D133" s="165"/>
      <c r="E133" s="165"/>
      <c r="F133" s="165"/>
      <c r="G133" s="474"/>
      <c r="H133" s="474"/>
      <c r="I133" s="474"/>
      <c r="J133" s="474"/>
      <c r="K133" s="165"/>
      <c r="L133" s="474"/>
      <c r="M133" s="474"/>
      <c r="N133" s="474"/>
      <c r="O133" s="474"/>
      <c r="P133" s="165"/>
      <c r="Q133" s="474"/>
      <c r="R133" s="474"/>
      <c r="S133" s="474"/>
      <c r="T133" s="474"/>
      <c r="U133" s="165"/>
      <c r="V133" s="474"/>
      <c r="W133" s="474"/>
      <c r="X133" s="474"/>
      <c r="Y133" s="474"/>
      <c r="Z133" s="165"/>
      <c r="AA133" s="474"/>
      <c r="AB133" s="474"/>
      <c r="AC133" s="474"/>
      <c r="AD133" s="474"/>
      <c r="AE133" s="165"/>
      <c r="AF133" s="436">
        <f t="shared" ref="AF133:BD133" si="71">+AF131/AA131-1</f>
        <v>0.71152408048891602</v>
      </c>
      <c r="AG133" s="436">
        <f t="shared" si="71"/>
        <v>0.67903895335159725</v>
      </c>
      <c r="AH133" s="436">
        <f t="shared" si="71"/>
        <v>0.64703661759154407</v>
      </c>
      <c r="AI133" s="436">
        <f t="shared" si="71"/>
        <v>0.56515837871770058</v>
      </c>
      <c r="AJ133" s="435">
        <f t="shared" si="71"/>
        <v>0.64224694753510869</v>
      </c>
      <c r="AK133" s="436">
        <f t="shared" si="71"/>
        <v>0.60509650105214519</v>
      </c>
      <c r="AL133" s="436">
        <f t="shared" si="71"/>
        <v>0.57961961925767902</v>
      </c>
      <c r="AM133" s="436">
        <f t="shared" si="71"/>
        <v>0.5372651201692058</v>
      </c>
      <c r="AN133" s="436">
        <f t="shared" si="71"/>
        <v>0.51079290060558757</v>
      </c>
      <c r="AO133" s="435">
        <f t="shared" si="71"/>
        <v>0.55370706353032739</v>
      </c>
      <c r="AP133" s="436">
        <f t="shared" si="71"/>
        <v>0.51331969136613687</v>
      </c>
      <c r="AQ133" s="436">
        <f t="shared" si="71"/>
        <v>0.62846858601292133</v>
      </c>
      <c r="AR133" s="436">
        <f t="shared" si="71"/>
        <v>0.66069672302670135</v>
      </c>
      <c r="AS133" s="436">
        <f t="shared" si="71"/>
        <v>0.63734660540848331</v>
      </c>
      <c r="AT133" s="435">
        <f t="shared" si="71"/>
        <v>0.61433555559940944</v>
      </c>
      <c r="AU133" s="436">
        <f t="shared" si="71"/>
        <v>0.576342885498077</v>
      </c>
      <c r="AV133" s="436">
        <f t="shared" si="71"/>
        <v>0.40471588712794748</v>
      </c>
      <c r="AW133" s="596">
        <f t="shared" si="71"/>
        <v>0.31361446295505835</v>
      </c>
      <c r="AX133" s="436">
        <f t="shared" si="71"/>
        <v>0.32037248730297074</v>
      </c>
      <c r="AY133" s="435">
        <f t="shared" si="71"/>
        <v>0.39098549431353513</v>
      </c>
      <c r="AZ133" s="436">
        <f t="shared" si="71"/>
        <v>0.29128472473072109</v>
      </c>
      <c r="BA133" s="436">
        <f t="shared" si="71"/>
        <v>0.31182891513776334</v>
      </c>
      <c r="BB133" s="436">
        <f t="shared" si="71"/>
        <v>0.33964472403962254</v>
      </c>
      <c r="BC133" s="436">
        <f t="shared" si="71"/>
        <v>0.32310012895383089</v>
      </c>
      <c r="BD133" s="435">
        <f t="shared" si="71"/>
        <v>0.31720001731608072</v>
      </c>
      <c r="BE133" s="435">
        <f>+BE131/BD131-1</f>
        <v>0.27693122642361256</v>
      </c>
      <c r="BF133" s="435">
        <f>+BF131/BE131-1</f>
        <v>0.2394999999999996</v>
      </c>
      <c r="BG133" s="435">
        <f>+BG131/BF131-1</f>
        <v>0.22609999999999997</v>
      </c>
      <c r="BH133" s="648"/>
    </row>
    <row r="134" spans="1:60" s="57" customFormat="1" collapsed="1" x14ac:dyDescent="0.25">
      <c r="A134" s="481"/>
      <c r="B134" s="482"/>
      <c r="C134" s="547"/>
      <c r="D134" s="547"/>
      <c r="E134" s="547"/>
      <c r="F134" s="547"/>
      <c r="G134" s="483"/>
      <c r="H134" s="483"/>
      <c r="I134" s="483"/>
      <c r="J134" s="483"/>
      <c r="K134" s="547"/>
      <c r="L134" s="483"/>
      <c r="M134" s="483"/>
      <c r="N134" s="483"/>
      <c r="O134" s="483"/>
      <c r="P134" s="547"/>
      <c r="Q134" s="483"/>
      <c r="R134" s="483"/>
      <c r="S134" s="483"/>
      <c r="T134" s="483"/>
      <c r="U134" s="547"/>
      <c r="V134" s="483"/>
      <c r="W134" s="483"/>
      <c r="X134" s="483"/>
      <c r="Y134" s="483"/>
      <c r="Z134" s="547"/>
      <c r="AA134" s="483"/>
      <c r="AB134" s="483"/>
      <c r="AC134" s="483"/>
      <c r="AD134" s="483"/>
      <c r="AE134" s="547"/>
      <c r="AF134" s="483"/>
      <c r="AG134" s="483"/>
      <c r="AH134" s="483"/>
      <c r="AI134" s="483"/>
      <c r="AJ134" s="547"/>
      <c r="AK134" s="483"/>
      <c r="AL134" s="483"/>
      <c r="AM134" s="483"/>
      <c r="AN134" s="483"/>
      <c r="AO134" s="547"/>
      <c r="AP134" s="483"/>
      <c r="AQ134" s="483"/>
      <c r="AR134" s="483"/>
      <c r="AS134" s="483"/>
      <c r="AT134" s="547"/>
      <c r="AU134" s="483"/>
      <c r="AV134" s="483"/>
      <c r="AW134" s="571"/>
      <c r="AX134" s="483"/>
      <c r="AY134" s="547"/>
      <c r="AZ134" s="483"/>
      <c r="BA134" s="483"/>
      <c r="BB134" s="483"/>
      <c r="BC134" s="483"/>
      <c r="BD134" s="547"/>
      <c r="BE134" s="547"/>
      <c r="BF134" s="547"/>
      <c r="BG134" s="547"/>
      <c r="BH134" s="383"/>
    </row>
    <row r="135" spans="1:60" s="57" customFormat="1" x14ac:dyDescent="0.25">
      <c r="A135" s="819" t="s">
        <v>647</v>
      </c>
      <c r="B135" s="819"/>
      <c r="C135" s="861"/>
      <c r="D135" s="861"/>
      <c r="E135" s="861"/>
      <c r="F135" s="861"/>
      <c r="G135" s="861"/>
      <c r="H135" s="861"/>
      <c r="I135" s="861"/>
      <c r="J135" s="861"/>
      <c r="K135" s="861"/>
      <c r="L135" s="861"/>
      <c r="M135" s="861"/>
      <c r="N135" s="861"/>
      <c r="O135" s="861"/>
      <c r="P135" s="861"/>
      <c r="Q135" s="861"/>
      <c r="R135" s="861"/>
      <c r="S135" s="861"/>
      <c r="T135" s="861"/>
      <c r="U135" s="861"/>
      <c r="V135" s="861"/>
      <c r="W135" s="861"/>
      <c r="X135" s="861"/>
      <c r="Y135" s="861"/>
      <c r="Z135" s="861"/>
      <c r="AA135" s="861"/>
      <c r="AB135" s="861"/>
      <c r="AC135" s="861"/>
      <c r="AD135" s="861"/>
      <c r="AE135" s="861"/>
      <c r="AF135" s="861"/>
      <c r="AG135" s="861"/>
      <c r="AH135" s="861"/>
      <c r="AI135" s="861"/>
      <c r="AJ135" s="861"/>
      <c r="AK135" s="861"/>
      <c r="AL135" s="861"/>
      <c r="AM135" s="861"/>
      <c r="AN135" s="861"/>
      <c r="AO135" s="861"/>
      <c r="AP135" s="861"/>
      <c r="AQ135" s="861"/>
      <c r="AR135" s="861"/>
      <c r="AS135" s="861"/>
      <c r="AT135" s="861"/>
      <c r="AU135" s="861"/>
      <c r="AV135" s="861"/>
      <c r="AW135" s="862"/>
      <c r="AX135" s="861"/>
      <c r="AY135" s="861"/>
      <c r="AZ135" s="861"/>
      <c r="BA135" s="861"/>
      <c r="BB135" s="861"/>
      <c r="BC135" s="861"/>
      <c r="BD135" s="861"/>
      <c r="BE135" s="861"/>
      <c r="BF135" s="861"/>
      <c r="BG135" s="861"/>
      <c r="BH135" s="824"/>
    </row>
    <row r="136" spans="1:60" customFormat="1" hidden="1" outlineLevel="1" x14ac:dyDescent="0.25">
      <c r="A136" s="63" t="s">
        <v>449</v>
      </c>
      <c r="B136" s="493"/>
      <c r="C136" s="874"/>
      <c r="D136" s="874"/>
      <c r="E136" s="874"/>
      <c r="F136" s="875">
        <f>'Supplemental Data'!F30</f>
        <v>1136.8720000000001</v>
      </c>
      <c r="G136" s="876">
        <f>'Supplemental Data'!G30</f>
        <v>243.29300000000001</v>
      </c>
      <c r="H136" s="876">
        <f>'Supplemental Data'!H30</f>
        <v>232.381</v>
      </c>
      <c r="I136" s="876">
        <f>'Supplemental Data'!I30</f>
        <v>221.86500000000001</v>
      </c>
      <c r="J136" s="876">
        <f>'Supplemental Data'!J30</f>
        <v>213.25800000000004</v>
      </c>
      <c r="K136" s="875">
        <f>'Supplemental Data'!K30</f>
        <v>910.79700000000003</v>
      </c>
      <c r="L136" s="876">
        <f>'Supplemental Data'!L30</f>
        <v>204.35400000000001</v>
      </c>
      <c r="M136" s="876">
        <f>'Supplemental Data'!M30</f>
        <v>194.721</v>
      </c>
      <c r="N136" s="876">
        <f>'Supplemental Data'!N30</f>
        <v>186.59700000000001</v>
      </c>
      <c r="O136" s="876">
        <f>'Supplemental Data'!O30</f>
        <v>179.48899999999995</v>
      </c>
      <c r="P136" s="875">
        <f>'Supplemental Data'!P30</f>
        <v>765.16099999999994</v>
      </c>
      <c r="Q136" s="876">
        <f>'Supplemental Data'!Q30</f>
        <v>173.2</v>
      </c>
      <c r="R136" s="876">
        <f>'Supplemental Data'!R30</f>
        <v>164.018</v>
      </c>
      <c r="S136" s="876">
        <f>'Supplemental Data'!S30</f>
        <v>157.524</v>
      </c>
      <c r="T136" s="876">
        <f>'Supplemental Data'!T30</f>
        <v>150.995</v>
      </c>
      <c r="U136" s="875">
        <f>'Supplemental Data'!U30</f>
        <v>645.73699999999997</v>
      </c>
      <c r="V136" s="876">
        <f>'Supplemental Data'!V30</f>
        <v>144.74700000000001</v>
      </c>
      <c r="W136" s="876">
        <f>'Supplemental Data'!W30</f>
        <v>138.732</v>
      </c>
      <c r="X136" s="876">
        <f>'Supplemental Data'!X30</f>
        <v>132.375</v>
      </c>
      <c r="Y136" s="876">
        <f>'Supplemental Data'!Y30</f>
        <v>126.41300000000001</v>
      </c>
      <c r="Z136" s="875">
        <f>'Supplemental Data'!Z30</f>
        <v>542.26700000000005</v>
      </c>
      <c r="AA136" s="876">
        <f>+'Supplemental Data'!AA30</f>
        <v>120.39400000000001</v>
      </c>
      <c r="AB136" s="876">
        <f>+'Supplemental Data'!AB30</f>
        <v>114.73699999999999</v>
      </c>
      <c r="AC136" s="876">
        <f>+'Supplemental Data'!AC30</f>
        <v>110.214</v>
      </c>
      <c r="AD136" s="876">
        <f>+'Supplemental Data'!AD30</f>
        <v>105.15200000000002</v>
      </c>
      <c r="AE136" s="875">
        <f>+'Supplemental Data'!AE30</f>
        <v>450.49700000000001</v>
      </c>
      <c r="AF136" s="876">
        <f>+'Supplemental Data'!AF30</f>
        <v>98.751000000000005</v>
      </c>
      <c r="AG136" s="876">
        <f>+'Supplemental Data'!AG30</f>
        <v>92.903999999999996</v>
      </c>
      <c r="AH136" s="876">
        <f>+'Supplemental Data'!AH30</f>
        <v>88.777000000000001</v>
      </c>
      <c r="AI136" s="876">
        <f>+'Supplemental Data'!AI30</f>
        <v>85.156999999999968</v>
      </c>
      <c r="AJ136" s="875">
        <f>+'Supplemental Data'!AJ30</f>
        <v>365.589</v>
      </c>
      <c r="AK136" s="876">
        <f>+'Supplemental Data'!AK30</f>
        <v>80.688000000000002</v>
      </c>
      <c r="AL136" s="876">
        <f>+'Supplemental Data'!AL30</f>
        <v>76.2</v>
      </c>
      <c r="AM136" s="876">
        <f>+'Supplemental Data'!AM30</f>
        <v>71.876999999999995</v>
      </c>
      <c r="AN136" s="876">
        <f>+'Supplemental Data'!AN30</f>
        <v>68.452000000000012</v>
      </c>
      <c r="AO136" s="875">
        <f>+'Supplemental Data'!AO30</f>
        <v>297.21699999999998</v>
      </c>
      <c r="AP136" s="876">
        <v>64.328000000000003</v>
      </c>
      <c r="AQ136" s="876">
        <v>61.570999999999998</v>
      </c>
      <c r="AR136" s="876">
        <v>58.834000000000003</v>
      </c>
      <c r="AS136" s="876">
        <f>AT136-SUM(AP136,AQ136,AR136)</f>
        <v>54.647999999999996</v>
      </c>
      <c r="AT136" s="875">
        <v>239.381</v>
      </c>
      <c r="AU136" s="876">
        <v>49.575000000000003</v>
      </c>
      <c r="AV136" s="876">
        <v>46.292000000000002</v>
      </c>
      <c r="AW136" s="877">
        <v>44.231999999999999</v>
      </c>
      <c r="AX136" s="876">
        <f>AW136*(1+AX137)</f>
        <v>42.020399999999995</v>
      </c>
      <c r="AY136" s="875">
        <f>SUM(AU136,AV136,AW136,AX136)</f>
        <v>182.11939999999998</v>
      </c>
      <c r="AZ136" s="876">
        <f>AX136*(1+AZ137)</f>
        <v>39.919379999999997</v>
      </c>
      <c r="BA136" s="876">
        <f>AZ136*(1+BA137)</f>
        <v>37.923410999999994</v>
      </c>
      <c r="BB136" s="876">
        <f>BA136*(1+BB137)</f>
        <v>36.027240449999994</v>
      </c>
      <c r="BC136" s="876">
        <f>BB136*(1+BC137)</f>
        <v>34.225878427499993</v>
      </c>
      <c r="BD136" s="875">
        <f>SUM(AZ136,BA136,BB136,BC136)</f>
        <v>148.09590987749999</v>
      </c>
      <c r="BE136" s="875">
        <f>+BD136*(1+BE138)</f>
        <v>118.47672790199999</v>
      </c>
      <c r="BF136" s="875">
        <f>+BE136*(1+BF138)</f>
        <v>94.781382321600006</v>
      </c>
      <c r="BG136" s="875">
        <f>+BF136*(1+BG138)</f>
        <v>75.825105857280008</v>
      </c>
      <c r="BH136" s="824"/>
    </row>
    <row r="137" spans="1:60" s="57" customFormat="1" hidden="1" outlineLevel="1" x14ac:dyDescent="0.25">
      <c r="A137" s="838" t="s">
        <v>649</v>
      </c>
      <c r="B137" s="665"/>
      <c r="C137" s="796"/>
      <c r="D137" s="796"/>
      <c r="E137" s="796"/>
      <c r="F137" s="796"/>
      <c r="G137" s="163"/>
      <c r="H137" s="648">
        <f>H136/G136-1</f>
        <v>-4.4851269868019239E-2</v>
      </c>
      <c r="I137" s="648">
        <f>I136/H136-1</f>
        <v>-4.5253269415313602E-2</v>
      </c>
      <c r="J137" s="648">
        <f>J136/I136-1</f>
        <v>-3.8793861131769192E-2</v>
      </c>
      <c r="K137" s="796"/>
      <c r="L137" s="648">
        <f>L136/J136-1</f>
        <v>-4.1752243761078223E-2</v>
      </c>
      <c r="M137" s="648">
        <f>M136/L136-1</f>
        <v>-4.7138788572770873E-2</v>
      </c>
      <c r="N137" s="648">
        <f>N136/M136-1</f>
        <v>-4.1721231916434287E-2</v>
      </c>
      <c r="O137" s="648">
        <f>O136/N136-1</f>
        <v>-3.8092788201311123E-2</v>
      </c>
      <c r="P137" s="796"/>
      <c r="Q137" s="648">
        <f>Q136/O136-1</f>
        <v>-3.5038358896645305E-2</v>
      </c>
      <c r="R137" s="648">
        <f>R136/Q136-1</f>
        <v>-5.3013856812932914E-2</v>
      </c>
      <c r="S137" s="648">
        <f>S136/R136-1</f>
        <v>-3.9593215378799895E-2</v>
      </c>
      <c r="T137" s="648">
        <f>T136/S136-1</f>
        <v>-4.1447652421218284E-2</v>
      </c>
      <c r="U137" s="796"/>
      <c r="V137" s="648">
        <f>V136/T136-1</f>
        <v>-4.1378853604423949E-2</v>
      </c>
      <c r="W137" s="648">
        <f>W136/V136-1</f>
        <v>-4.1555265394101482E-2</v>
      </c>
      <c r="X137" s="648">
        <f>X136/W136-1</f>
        <v>-4.5822160712741145E-2</v>
      </c>
      <c r="Y137" s="648">
        <f>Y136/X136-1</f>
        <v>-4.503871576959384E-2</v>
      </c>
      <c r="Z137" s="796"/>
      <c r="AA137" s="648">
        <f>AA136/Y136-1</f>
        <v>-4.7613773899836342E-2</v>
      </c>
      <c r="AB137" s="648">
        <f>AB136/AA136-1</f>
        <v>-4.6987391398242484E-2</v>
      </c>
      <c r="AC137" s="648">
        <f>AC136/AB136-1</f>
        <v>-3.9420587953319264E-2</v>
      </c>
      <c r="AD137" s="648">
        <f>AD136/AC136-1</f>
        <v>-4.5928829368319657E-2</v>
      </c>
      <c r="AE137" s="796"/>
      <c r="AF137" s="648">
        <f>AF136/AD136-1</f>
        <v>-6.0873782714546687E-2</v>
      </c>
      <c r="AG137" s="648">
        <f>AG136/AF136-1</f>
        <v>-5.9209526992131778E-2</v>
      </c>
      <c r="AH137" s="648">
        <f>AH136/AG136-1</f>
        <v>-4.4422199259450568E-2</v>
      </c>
      <c r="AI137" s="648">
        <f>AI136/AH136-1</f>
        <v>-4.0776327201865747E-2</v>
      </c>
      <c r="AJ137" s="796"/>
      <c r="AK137" s="648">
        <f>AK136/AI136-1</f>
        <v>-5.2479537794896114E-2</v>
      </c>
      <c r="AL137" s="648">
        <f>AL136/AK136-1</f>
        <v>-5.562165377751338E-2</v>
      </c>
      <c r="AM137" s="648">
        <f>AM136/AL136-1</f>
        <v>-5.6732283464567046E-2</v>
      </c>
      <c r="AN137" s="648">
        <f>AN136/AM136-1</f>
        <v>-4.7650847976403954E-2</v>
      </c>
      <c r="AO137" s="796"/>
      <c r="AP137" s="648">
        <f>AP136/AN136-1</f>
        <v>-6.0246596154970078E-2</v>
      </c>
      <c r="AQ137" s="648">
        <f>AQ136/AP136-1</f>
        <v>-4.2858475314015765E-2</v>
      </c>
      <c r="AR137" s="648">
        <f>AR136/AQ136-1</f>
        <v>-4.4452745610758182E-2</v>
      </c>
      <c r="AS137" s="648">
        <f>AS136/AR136-1</f>
        <v>-7.1149335418295712E-2</v>
      </c>
      <c r="AT137" s="796"/>
      <c r="AU137" s="648">
        <f>AU136/AS136-1</f>
        <v>-9.2830478700043795E-2</v>
      </c>
      <c r="AV137" s="648">
        <f>AV136/AU136-1</f>
        <v>-6.6222894604135218E-2</v>
      </c>
      <c r="AW137" s="652">
        <f>AW136/AV136-1</f>
        <v>-4.4500129612028094E-2</v>
      </c>
      <c r="AX137" s="653">
        <v>-0.05</v>
      </c>
      <c r="AY137" s="796"/>
      <c r="AZ137" s="653">
        <v>-0.05</v>
      </c>
      <c r="BA137" s="653">
        <v>-0.05</v>
      </c>
      <c r="BB137" s="653">
        <v>-0.05</v>
      </c>
      <c r="BC137" s="653">
        <v>-0.05</v>
      </c>
      <c r="BD137" s="796"/>
      <c r="BE137" s="796"/>
      <c r="BF137" s="796"/>
      <c r="BG137" s="796"/>
      <c r="BH137" s="824"/>
    </row>
    <row r="138" spans="1:60" s="649" customFormat="1" hidden="1" outlineLevel="1" x14ac:dyDescent="0.25">
      <c r="A138" s="834" t="s">
        <v>648</v>
      </c>
      <c r="B138" s="643"/>
      <c r="C138" s="165"/>
      <c r="D138" s="165"/>
      <c r="E138" s="165"/>
      <c r="F138" s="165"/>
      <c r="G138" s="474"/>
      <c r="H138" s="474"/>
      <c r="I138" s="474"/>
      <c r="J138" s="474"/>
      <c r="K138" s="165">
        <f t="shared" ref="K138:BD138" si="72">+K136/F136-1</f>
        <v>-0.19885703931489207</v>
      </c>
      <c r="L138" s="474">
        <f t="shared" si="72"/>
        <v>-0.16004981647642957</v>
      </c>
      <c r="M138" s="474">
        <f t="shared" si="72"/>
        <v>-0.1620614422005241</v>
      </c>
      <c r="N138" s="474">
        <f t="shared" si="72"/>
        <v>-0.15896153066053675</v>
      </c>
      <c r="O138" s="474">
        <f t="shared" si="72"/>
        <v>-0.15834810417428691</v>
      </c>
      <c r="P138" s="165">
        <f t="shared" si="72"/>
        <v>-0.15989951657723955</v>
      </c>
      <c r="Q138" s="474">
        <f t="shared" si="72"/>
        <v>-0.15245113871027738</v>
      </c>
      <c r="R138" s="474">
        <f t="shared" si="72"/>
        <v>-0.15767688128142321</v>
      </c>
      <c r="S138" s="474">
        <f t="shared" si="72"/>
        <v>-0.15580636344635768</v>
      </c>
      <c r="T138" s="474">
        <f t="shared" si="72"/>
        <v>-0.15875067552886224</v>
      </c>
      <c r="U138" s="165">
        <f t="shared" si="72"/>
        <v>-0.15607695635297669</v>
      </c>
      <c r="V138" s="474">
        <f t="shared" si="72"/>
        <v>-0.16427829099307145</v>
      </c>
      <c r="W138" s="474">
        <f t="shared" si="72"/>
        <v>-0.15416600617005449</v>
      </c>
      <c r="X138" s="474">
        <f t="shared" si="72"/>
        <v>-0.1596518625733222</v>
      </c>
      <c r="Y138" s="474">
        <f t="shared" si="72"/>
        <v>-0.16280009271830187</v>
      </c>
      <c r="Z138" s="165">
        <f t="shared" si="72"/>
        <v>-0.16023551383922541</v>
      </c>
      <c r="AA138" s="474">
        <f t="shared" si="72"/>
        <v>-0.16824528314921905</v>
      </c>
      <c r="AB138" s="474">
        <f t="shared" si="72"/>
        <v>-0.17295937490989821</v>
      </c>
      <c r="AC138" s="474">
        <f t="shared" si="72"/>
        <v>-0.16741076487252127</v>
      </c>
      <c r="AD138" s="474">
        <f t="shared" si="72"/>
        <v>-0.16818681622934351</v>
      </c>
      <c r="AE138" s="165">
        <f t="shared" si="72"/>
        <v>-0.16923397514508542</v>
      </c>
      <c r="AF138" s="474">
        <f t="shared" si="72"/>
        <v>-0.17976809475555255</v>
      </c>
      <c r="AG138" s="474">
        <f t="shared" si="72"/>
        <v>-0.19028735281556952</v>
      </c>
      <c r="AH138" s="474">
        <f t="shared" si="72"/>
        <v>-0.19450342061807024</v>
      </c>
      <c r="AI138" s="474">
        <f t="shared" si="72"/>
        <v>-0.19015330188679291</v>
      </c>
      <c r="AJ138" s="165">
        <f t="shared" si="72"/>
        <v>-0.18847628286092921</v>
      </c>
      <c r="AK138" s="474">
        <f t="shared" si="72"/>
        <v>-0.18291460339642129</v>
      </c>
      <c r="AL138" s="474">
        <f t="shared" si="72"/>
        <v>-0.17979850167915257</v>
      </c>
      <c r="AM138" s="474">
        <f t="shared" si="72"/>
        <v>-0.19036462146727195</v>
      </c>
      <c r="AN138" s="474">
        <f t="shared" si="72"/>
        <v>-0.19616707962938995</v>
      </c>
      <c r="AO138" s="165">
        <f t="shared" si="72"/>
        <v>-0.18701875603478224</v>
      </c>
      <c r="AP138" s="474">
        <f t="shared" si="72"/>
        <v>-0.20275629585564148</v>
      </c>
      <c r="AQ138" s="474">
        <f t="shared" si="72"/>
        <v>-0.19198162729658796</v>
      </c>
      <c r="AR138" s="474">
        <f t="shared" si="72"/>
        <v>-0.18146277668795296</v>
      </c>
      <c r="AS138" s="474">
        <f t="shared" si="72"/>
        <v>-0.20165955706188299</v>
      </c>
      <c r="AT138" s="165">
        <f t="shared" si="72"/>
        <v>-0.19459183021159621</v>
      </c>
      <c r="AU138" s="474">
        <f t="shared" si="72"/>
        <v>-0.22934025618704146</v>
      </c>
      <c r="AV138" s="474">
        <f t="shared" si="72"/>
        <v>-0.2481525393448214</v>
      </c>
      <c r="AW138" s="598">
        <f t="shared" si="72"/>
        <v>-0.24818982221164643</v>
      </c>
      <c r="AX138" s="436">
        <f t="shared" si="72"/>
        <v>-0.23107158541941153</v>
      </c>
      <c r="AY138" s="435">
        <f t="shared" si="72"/>
        <v>-0.23920695460374886</v>
      </c>
      <c r="AZ138" s="436">
        <f t="shared" si="72"/>
        <v>-0.1947679273827535</v>
      </c>
      <c r="BA138" s="436">
        <f t="shared" si="72"/>
        <v>-0.18077829862611261</v>
      </c>
      <c r="BB138" s="436">
        <f t="shared" si="72"/>
        <v>-0.18549375000000012</v>
      </c>
      <c r="BC138" s="436">
        <f t="shared" si="72"/>
        <v>-0.18549375000000012</v>
      </c>
      <c r="BD138" s="435">
        <f t="shared" si="72"/>
        <v>-0.18681969149085709</v>
      </c>
      <c r="BE138" s="438">
        <v>-0.2</v>
      </c>
      <c r="BF138" s="438">
        <v>-0.2</v>
      </c>
      <c r="BG138" s="438">
        <v>-0.2</v>
      </c>
      <c r="BH138" s="648"/>
    </row>
    <row r="139" spans="1:60" s="649" customFormat="1" collapsed="1" x14ac:dyDescent="0.25">
      <c r="A139" s="681"/>
      <c r="B139" s="643"/>
      <c r="C139" s="165"/>
      <c r="D139" s="165"/>
      <c r="E139" s="165"/>
      <c r="F139" s="165"/>
      <c r="G139" s="474"/>
      <c r="H139" s="474"/>
      <c r="I139" s="474"/>
      <c r="J139" s="474"/>
      <c r="K139" s="165"/>
      <c r="L139" s="474"/>
      <c r="M139" s="474"/>
      <c r="N139" s="474"/>
      <c r="O139" s="474"/>
      <c r="P139" s="165"/>
      <c r="Q139" s="474"/>
      <c r="R139" s="474"/>
      <c r="S139" s="474"/>
      <c r="T139" s="474"/>
      <c r="U139" s="165"/>
      <c r="V139" s="474"/>
      <c r="W139" s="474"/>
      <c r="X139" s="474"/>
      <c r="Y139" s="474"/>
      <c r="Z139" s="165"/>
      <c r="AA139" s="474"/>
      <c r="AB139" s="474"/>
      <c r="AC139" s="474"/>
      <c r="AD139" s="474"/>
      <c r="AE139" s="165"/>
      <c r="AF139" s="474"/>
      <c r="AG139" s="474"/>
      <c r="AH139" s="474"/>
      <c r="AI139" s="474"/>
      <c r="AJ139" s="165"/>
      <c r="AK139" s="474"/>
      <c r="AL139" s="474"/>
      <c r="AM139" s="474"/>
      <c r="AN139" s="474"/>
      <c r="AO139" s="165"/>
      <c r="AP139" s="474"/>
      <c r="AQ139" s="474"/>
      <c r="AR139" s="474"/>
      <c r="AS139" s="474"/>
      <c r="AT139" s="165"/>
      <c r="AU139" s="474"/>
      <c r="AV139" s="474"/>
      <c r="AW139" s="598"/>
      <c r="AX139" s="474"/>
      <c r="AY139" s="165"/>
      <c r="AZ139" s="474"/>
      <c r="BA139" s="474"/>
      <c r="BB139" s="474"/>
      <c r="BC139" s="474"/>
      <c r="BD139" s="165"/>
      <c r="BE139" s="165"/>
      <c r="BF139" s="165"/>
      <c r="BG139" s="165"/>
      <c r="BH139" s="648"/>
    </row>
    <row r="140" spans="1:60" s="57" customFormat="1" x14ac:dyDescent="0.25">
      <c r="A140" s="819" t="s">
        <v>641</v>
      </c>
      <c r="B140" s="819"/>
      <c r="C140" s="861"/>
      <c r="D140" s="861"/>
      <c r="E140" s="861"/>
      <c r="F140" s="861"/>
      <c r="G140" s="861"/>
      <c r="H140" s="861"/>
      <c r="I140" s="861"/>
      <c r="J140" s="861"/>
      <c r="K140" s="861"/>
      <c r="L140" s="861"/>
      <c r="M140" s="861"/>
      <c r="N140" s="861"/>
      <c r="O140" s="861"/>
      <c r="P140" s="861"/>
      <c r="Q140" s="861"/>
      <c r="R140" s="861"/>
      <c r="S140" s="861"/>
      <c r="T140" s="861"/>
      <c r="U140" s="861"/>
      <c r="V140" s="861"/>
      <c r="W140" s="861"/>
      <c r="X140" s="861"/>
      <c r="Y140" s="861"/>
      <c r="Z140" s="861"/>
      <c r="AA140" s="861"/>
      <c r="AB140" s="861"/>
      <c r="AC140" s="861"/>
      <c r="AD140" s="861"/>
      <c r="AE140" s="861"/>
      <c r="AF140" s="861"/>
      <c r="AG140" s="861"/>
      <c r="AH140" s="861"/>
      <c r="AI140" s="861"/>
      <c r="AJ140" s="861"/>
      <c r="AK140" s="861"/>
      <c r="AL140" s="861"/>
      <c r="AM140" s="861"/>
      <c r="AN140" s="861"/>
      <c r="AO140" s="861"/>
      <c r="AP140" s="861"/>
      <c r="AQ140" s="861"/>
      <c r="AR140" s="861"/>
      <c r="AS140" s="861"/>
      <c r="AT140" s="861"/>
      <c r="AU140" s="861"/>
      <c r="AV140" s="861"/>
      <c r="AW140" s="862"/>
      <c r="AX140" s="861"/>
      <c r="AY140" s="861"/>
      <c r="AZ140" s="861"/>
      <c r="BA140" s="861"/>
      <c r="BB140" s="861"/>
      <c r="BC140" s="861"/>
      <c r="BD140" s="861"/>
      <c r="BE140" s="861"/>
      <c r="BF140" s="861"/>
      <c r="BG140" s="861"/>
      <c r="BH140" s="824"/>
    </row>
    <row r="141" spans="1:60" s="57" customFormat="1" hidden="1" outlineLevel="1" x14ac:dyDescent="0.25">
      <c r="A141" s="279" t="s">
        <v>645</v>
      </c>
      <c r="B141" s="484"/>
      <c r="C141" s="803"/>
      <c r="D141" s="803"/>
      <c r="E141" s="803"/>
      <c r="F141" s="803">
        <f>'Supplemental Data'!F63</f>
        <v>4892</v>
      </c>
      <c r="G141" s="406">
        <f>'Supplemental Data'!G63</f>
        <v>6331</v>
      </c>
      <c r="H141" s="406">
        <f>'Supplemental Data'!H63</f>
        <v>7014</v>
      </c>
      <c r="I141" s="406">
        <f>'Supplemental Data'!I63</f>
        <v>8084</v>
      </c>
      <c r="J141" s="406">
        <f>'Supplemental Data'!J63</f>
        <v>9722</v>
      </c>
      <c r="K141" s="803">
        <f>'Supplemental Data'!K63</f>
        <v>9722</v>
      </c>
      <c r="L141" s="406">
        <f>'Supplemental Data'!L63</f>
        <v>11755</v>
      </c>
      <c r="M141" s="406">
        <f>'Supplemental Data'!M63</f>
        <v>12907</v>
      </c>
      <c r="N141" s="406">
        <f>'Supplemental Data'!N63</f>
        <v>14389</v>
      </c>
      <c r="O141" s="406">
        <f>'Supplemental Data'!O63</f>
        <v>16778</v>
      </c>
      <c r="P141" s="803">
        <f>'Supplemental Data'!P63</f>
        <v>16778</v>
      </c>
      <c r="Q141" s="406">
        <f>'Supplemental Data'!Q63</f>
        <v>19304</v>
      </c>
      <c r="R141" s="406">
        <f>'Supplemental Data'!R63</f>
        <v>21649</v>
      </c>
      <c r="S141" s="406">
        <f>'Supplemental Data'!S63</f>
        <v>23951</v>
      </c>
      <c r="T141" s="406">
        <f>'Supplemental Data'!T63</f>
        <v>27438</v>
      </c>
      <c r="U141" s="803">
        <f>'Supplemental Data'!U63</f>
        <v>27438</v>
      </c>
      <c r="V141" s="406">
        <f>'Supplemental Data'!V63</f>
        <v>31993</v>
      </c>
      <c r="W141" s="406">
        <f>'Supplemental Data'!W63</f>
        <v>33892</v>
      </c>
      <c r="X141" s="406">
        <f>'Supplemental Data'!X63</f>
        <v>36799</v>
      </c>
      <c r="Y141" s="406">
        <f>'Supplemental Data'!Y63</f>
        <v>41185</v>
      </c>
      <c r="Z141" s="803">
        <f>'Supplemental Data'!Z63</f>
        <v>41185</v>
      </c>
      <c r="AA141" s="406"/>
      <c r="AB141" s="406"/>
      <c r="AC141" s="406"/>
      <c r="AD141" s="406"/>
      <c r="AE141" s="803"/>
      <c r="AF141" s="406"/>
      <c r="AG141" s="406"/>
      <c r="AH141" s="406"/>
      <c r="AI141" s="406"/>
      <c r="AJ141" s="803"/>
      <c r="AK141" s="406"/>
      <c r="AL141" s="406"/>
      <c r="AM141" s="406"/>
      <c r="AN141" s="406"/>
      <c r="AO141" s="803"/>
      <c r="AP141" s="406"/>
      <c r="AQ141" s="406"/>
      <c r="AR141" s="406"/>
      <c r="AS141" s="406"/>
      <c r="AT141" s="803"/>
      <c r="AU141" s="406"/>
      <c r="AV141" s="406"/>
      <c r="AW141" s="572"/>
      <c r="AX141" s="406"/>
      <c r="AY141" s="803"/>
      <c r="AZ141" s="406"/>
      <c r="BA141" s="406"/>
      <c r="BB141" s="406"/>
      <c r="BC141" s="406"/>
      <c r="BD141" s="803"/>
      <c r="BE141" s="803"/>
      <c r="BF141" s="803"/>
      <c r="BG141" s="803"/>
      <c r="BH141" s="280"/>
    </row>
    <row r="142" spans="1:60" s="57" customFormat="1" hidden="1" outlineLevel="1" x14ac:dyDescent="0.25">
      <c r="A142" s="384" t="str">
        <f>A39</f>
        <v>United States EOP paid streaming memberships, 000s</v>
      </c>
      <c r="B142" s="484"/>
      <c r="C142" s="803"/>
      <c r="D142" s="803"/>
      <c r="E142" s="803"/>
      <c r="F142" s="803">
        <f t="shared" ref="F142:AO142" si="73">F39</f>
        <v>25471</v>
      </c>
      <c r="G142" s="406">
        <f t="shared" si="73"/>
        <v>27913</v>
      </c>
      <c r="H142" s="406">
        <f t="shared" si="73"/>
        <v>28624</v>
      </c>
      <c r="I142" s="406">
        <f t="shared" si="73"/>
        <v>29925</v>
      </c>
      <c r="J142" s="406">
        <f t="shared" si="73"/>
        <v>31712</v>
      </c>
      <c r="K142" s="803">
        <f t="shared" si="73"/>
        <v>31712</v>
      </c>
      <c r="L142" s="406">
        <f t="shared" si="73"/>
        <v>34377</v>
      </c>
      <c r="M142" s="406">
        <f t="shared" si="73"/>
        <v>35085</v>
      </c>
      <c r="N142" s="406">
        <f t="shared" si="73"/>
        <v>36265</v>
      </c>
      <c r="O142" s="406">
        <f t="shared" si="73"/>
        <v>37698</v>
      </c>
      <c r="P142" s="803">
        <f t="shared" si="73"/>
        <v>37698</v>
      </c>
      <c r="Q142" s="406">
        <f t="shared" si="73"/>
        <v>40315</v>
      </c>
      <c r="R142" s="406">
        <f t="shared" si="73"/>
        <v>41057</v>
      </c>
      <c r="S142" s="406">
        <f t="shared" si="73"/>
        <v>42068</v>
      </c>
      <c r="T142" s="406">
        <f t="shared" si="73"/>
        <v>43401</v>
      </c>
      <c r="U142" s="803">
        <f t="shared" si="73"/>
        <v>43401</v>
      </c>
      <c r="V142" s="406">
        <f t="shared" si="73"/>
        <v>45714</v>
      </c>
      <c r="W142" s="406">
        <f t="shared" si="73"/>
        <v>46004</v>
      </c>
      <c r="X142" s="406">
        <f t="shared" si="73"/>
        <v>46479</v>
      </c>
      <c r="Y142" s="406">
        <f t="shared" si="73"/>
        <v>47905</v>
      </c>
      <c r="Z142" s="803">
        <f t="shared" si="73"/>
        <v>47905</v>
      </c>
      <c r="AA142" s="280">
        <f t="shared" si="73"/>
        <v>49375</v>
      </c>
      <c r="AB142" s="280">
        <f t="shared" si="73"/>
        <v>50323</v>
      </c>
      <c r="AC142" s="280">
        <f t="shared" si="73"/>
        <v>51345</v>
      </c>
      <c r="AD142" s="280">
        <f t="shared" si="73"/>
        <v>52810</v>
      </c>
      <c r="AE142" s="375">
        <f t="shared" si="73"/>
        <v>52810</v>
      </c>
      <c r="AF142" s="280">
        <f t="shared" si="73"/>
        <v>55087</v>
      </c>
      <c r="AG142" s="280">
        <f t="shared" si="73"/>
        <v>55959</v>
      </c>
      <c r="AH142" s="280">
        <f t="shared" si="73"/>
        <v>56957</v>
      </c>
      <c r="AI142" s="280">
        <f t="shared" si="73"/>
        <v>58486</v>
      </c>
      <c r="AJ142" s="375">
        <f t="shared" si="73"/>
        <v>58486</v>
      </c>
      <c r="AK142" s="280">
        <f t="shared" si="73"/>
        <v>60229</v>
      </c>
      <c r="AL142" s="280">
        <f t="shared" si="73"/>
        <v>60103</v>
      </c>
      <c r="AM142" s="280">
        <f t="shared" si="73"/>
        <v>60620</v>
      </c>
      <c r="AN142" s="280">
        <f t="shared" si="73"/>
        <v>61043</v>
      </c>
      <c r="AO142" s="375">
        <f t="shared" si="73"/>
        <v>61043</v>
      </c>
      <c r="AP142" s="406"/>
      <c r="AQ142" s="406"/>
      <c r="AR142" s="406"/>
      <c r="AS142" s="406"/>
      <c r="AT142" s="803"/>
      <c r="AU142" s="406"/>
      <c r="AV142" s="406"/>
      <c r="AW142" s="572"/>
      <c r="AX142" s="406"/>
      <c r="AY142" s="803"/>
      <c r="AZ142" s="406"/>
      <c r="BA142" s="406"/>
      <c r="BB142" s="406"/>
      <c r="BC142" s="406"/>
      <c r="BD142" s="803"/>
      <c r="BE142" s="803"/>
      <c r="BF142" s="803"/>
      <c r="BG142" s="803"/>
      <c r="BH142" s="280"/>
    </row>
    <row r="143" spans="1:60" s="57" customFormat="1" hidden="1" outlineLevel="1" x14ac:dyDescent="0.25">
      <c r="A143" s="419" t="str">
        <f>A43</f>
        <v>Calculated Canada EOP paid streaming memberships, 000s</v>
      </c>
      <c r="B143" s="488"/>
      <c r="C143" s="548"/>
      <c r="D143" s="548"/>
      <c r="E143" s="548"/>
      <c r="F143" s="548"/>
      <c r="G143" s="489"/>
      <c r="H143" s="489"/>
      <c r="I143" s="489"/>
      <c r="J143" s="489"/>
      <c r="K143" s="548"/>
      <c r="L143" s="489"/>
      <c r="M143" s="489"/>
      <c r="N143" s="489"/>
      <c r="O143" s="489"/>
      <c r="P143" s="548"/>
      <c r="Q143" s="489"/>
      <c r="R143" s="489"/>
      <c r="S143" s="489"/>
      <c r="T143" s="489"/>
      <c r="U143" s="548"/>
      <c r="V143" s="489"/>
      <c r="W143" s="489"/>
      <c r="X143" s="489"/>
      <c r="Y143" s="489"/>
      <c r="Z143" s="548"/>
      <c r="AA143" s="403">
        <f t="shared" ref="AA143:AO143" si="74">AA43</f>
        <v>5200</v>
      </c>
      <c r="AB143" s="403">
        <f t="shared" si="74"/>
        <v>5294</v>
      </c>
      <c r="AC143" s="403">
        <f t="shared" si="74"/>
        <v>5434</v>
      </c>
      <c r="AD143" s="403">
        <f t="shared" si="74"/>
        <v>5612</v>
      </c>
      <c r="AE143" s="402">
        <f t="shared" si="74"/>
        <v>5612</v>
      </c>
      <c r="AF143" s="403">
        <f t="shared" si="74"/>
        <v>5822</v>
      </c>
      <c r="AG143" s="403">
        <f t="shared" si="74"/>
        <v>5911</v>
      </c>
      <c r="AH143" s="403">
        <f t="shared" si="74"/>
        <v>6053</v>
      </c>
      <c r="AI143" s="403">
        <f t="shared" si="74"/>
        <v>6271</v>
      </c>
      <c r="AJ143" s="402">
        <f t="shared" si="74"/>
        <v>6271</v>
      </c>
      <c r="AK143" s="403">
        <f t="shared" si="74"/>
        <v>6404</v>
      </c>
      <c r="AL143" s="403">
        <f t="shared" si="74"/>
        <v>6398</v>
      </c>
      <c r="AM143" s="403">
        <f t="shared" si="74"/>
        <v>6494</v>
      </c>
      <c r="AN143" s="403">
        <f t="shared" si="74"/>
        <v>6619</v>
      </c>
      <c r="AO143" s="402">
        <f t="shared" si="74"/>
        <v>6619</v>
      </c>
      <c r="AP143" s="489"/>
      <c r="AQ143" s="489"/>
      <c r="AR143" s="489"/>
      <c r="AS143" s="489"/>
      <c r="AT143" s="548"/>
      <c r="AU143" s="489"/>
      <c r="AV143" s="489"/>
      <c r="AW143" s="575"/>
      <c r="AX143" s="489"/>
      <c r="AY143" s="548"/>
      <c r="AZ143" s="489"/>
      <c r="BA143" s="489"/>
      <c r="BB143" s="489"/>
      <c r="BC143" s="489"/>
      <c r="BD143" s="548"/>
      <c r="BE143" s="548"/>
      <c r="BF143" s="548"/>
      <c r="BG143" s="548"/>
      <c r="BH143" s="280"/>
    </row>
    <row r="144" spans="1:60" s="57" customFormat="1" collapsed="1" x14ac:dyDescent="0.25">
      <c r="A144" s="279" t="str">
        <f>A50</f>
        <v>EoP United States &amp; Canada Paid Streaming Memberships, 000s</v>
      </c>
      <c r="B144" s="484"/>
      <c r="C144" s="803"/>
      <c r="D144" s="803"/>
      <c r="E144" s="803"/>
      <c r="F144" s="803"/>
      <c r="G144" s="406"/>
      <c r="H144" s="406"/>
      <c r="I144" s="406"/>
      <c r="J144" s="406"/>
      <c r="K144" s="803"/>
      <c r="L144" s="406"/>
      <c r="M144" s="406"/>
      <c r="N144" s="406"/>
      <c r="O144" s="406"/>
      <c r="P144" s="803"/>
      <c r="Q144" s="406"/>
      <c r="R144" s="406"/>
      <c r="S144" s="406"/>
      <c r="T144" s="406"/>
      <c r="U144" s="803"/>
      <c r="V144" s="406"/>
      <c r="W144" s="406"/>
      <c r="X144" s="406"/>
      <c r="Y144" s="406"/>
      <c r="Z144" s="803"/>
      <c r="AA144" s="280">
        <f t="shared" ref="AA144:BG144" si="75">AA50</f>
        <v>54575</v>
      </c>
      <c r="AB144" s="280">
        <f t="shared" si="75"/>
        <v>55617</v>
      </c>
      <c r="AC144" s="280">
        <f t="shared" si="75"/>
        <v>56779</v>
      </c>
      <c r="AD144" s="280">
        <f t="shared" si="75"/>
        <v>58422</v>
      </c>
      <c r="AE144" s="375">
        <f t="shared" si="75"/>
        <v>58422</v>
      </c>
      <c r="AF144" s="280">
        <f t="shared" si="75"/>
        <v>60909</v>
      </c>
      <c r="AG144" s="280">
        <f t="shared" si="75"/>
        <v>61870</v>
      </c>
      <c r="AH144" s="280">
        <f t="shared" si="75"/>
        <v>63010</v>
      </c>
      <c r="AI144" s="280">
        <f t="shared" si="75"/>
        <v>64757</v>
      </c>
      <c r="AJ144" s="375">
        <f t="shared" si="75"/>
        <v>64757</v>
      </c>
      <c r="AK144" s="280">
        <f t="shared" si="75"/>
        <v>66633</v>
      </c>
      <c r="AL144" s="280">
        <f t="shared" si="75"/>
        <v>66501</v>
      </c>
      <c r="AM144" s="280">
        <f t="shared" si="75"/>
        <v>67114</v>
      </c>
      <c r="AN144" s="280">
        <f t="shared" si="75"/>
        <v>67662</v>
      </c>
      <c r="AO144" s="375">
        <f t="shared" si="75"/>
        <v>67662</v>
      </c>
      <c r="AP144" s="280">
        <f t="shared" si="75"/>
        <v>69969</v>
      </c>
      <c r="AQ144" s="280">
        <f t="shared" si="75"/>
        <v>72904</v>
      </c>
      <c r="AR144" s="280">
        <f t="shared" si="75"/>
        <v>73081</v>
      </c>
      <c r="AS144" s="280">
        <f t="shared" si="75"/>
        <v>73936</v>
      </c>
      <c r="AT144" s="375">
        <f t="shared" si="75"/>
        <v>73936</v>
      </c>
      <c r="AU144" s="280">
        <f t="shared" si="75"/>
        <v>74384</v>
      </c>
      <c r="AV144" s="280">
        <f t="shared" si="75"/>
        <v>73951</v>
      </c>
      <c r="AW144" s="573">
        <f t="shared" si="75"/>
        <v>74024</v>
      </c>
      <c r="AX144" s="280">
        <f t="shared" si="75"/>
        <v>74764.240000000005</v>
      </c>
      <c r="AY144" s="375">
        <f t="shared" si="75"/>
        <v>74764.240000000005</v>
      </c>
      <c r="AZ144" s="280">
        <f t="shared" si="75"/>
        <v>75511.882400000002</v>
      </c>
      <c r="BA144" s="280">
        <f t="shared" si="75"/>
        <v>76267.001224000007</v>
      </c>
      <c r="BB144" s="280">
        <f t="shared" si="75"/>
        <v>77029.671236240014</v>
      </c>
      <c r="BC144" s="280">
        <f t="shared" si="75"/>
        <v>77799.967948602411</v>
      </c>
      <c r="BD144" s="375">
        <f t="shared" si="75"/>
        <v>77799.967948602411</v>
      </c>
      <c r="BE144" s="375">
        <f t="shared" si="75"/>
        <v>80133.966987060485</v>
      </c>
      <c r="BF144" s="375">
        <f t="shared" si="75"/>
        <v>82537.985996672302</v>
      </c>
      <c r="BG144" s="375">
        <f t="shared" si="75"/>
        <v>85014.125576572464</v>
      </c>
      <c r="BH144" s="280"/>
    </row>
    <row r="145" spans="1:60" s="57" customFormat="1" x14ac:dyDescent="0.25">
      <c r="A145" s="279" t="str">
        <f>A78</f>
        <v>EoP EMEA Paid Streaming Memberships, 000s</v>
      </c>
      <c r="B145" s="484"/>
      <c r="C145" s="803"/>
      <c r="D145" s="803"/>
      <c r="E145" s="803"/>
      <c r="F145" s="803"/>
      <c r="G145" s="406"/>
      <c r="H145" s="406"/>
      <c r="I145" s="406"/>
      <c r="J145" s="406"/>
      <c r="K145" s="803"/>
      <c r="L145" s="406"/>
      <c r="M145" s="406"/>
      <c r="N145" s="406"/>
      <c r="O145" s="406"/>
      <c r="P145" s="803"/>
      <c r="Q145" s="406"/>
      <c r="R145" s="406"/>
      <c r="S145" s="406"/>
      <c r="T145" s="406"/>
      <c r="U145" s="803"/>
      <c r="V145" s="406"/>
      <c r="W145" s="406"/>
      <c r="X145" s="406"/>
      <c r="Y145" s="406"/>
      <c r="Z145" s="803"/>
      <c r="AA145" s="280">
        <f t="shared" ref="AA145:BG145" si="76">AA78</f>
        <v>19699</v>
      </c>
      <c r="AB145" s="280">
        <f t="shared" si="76"/>
        <v>21152</v>
      </c>
      <c r="AC145" s="280">
        <f t="shared" si="76"/>
        <v>23135</v>
      </c>
      <c r="AD145" s="280">
        <f t="shared" si="76"/>
        <v>26004</v>
      </c>
      <c r="AE145" s="375">
        <f t="shared" si="76"/>
        <v>26004</v>
      </c>
      <c r="AF145" s="280">
        <f t="shared" si="76"/>
        <v>29339</v>
      </c>
      <c r="AG145" s="280">
        <f t="shared" si="76"/>
        <v>31317</v>
      </c>
      <c r="AH145" s="280">
        <f t="shared" si="76"/>
        <v>33836</v>
      </c>
      <c r="AI145" s="280">
        <f t="shared" si="76"/>
        <v>37818</v>
      </c>
      <c r="AJ145" s="375">
        <f t="shared" si="76"/>
        <v>37818</v>
      </c>
      <c r="AK145" s="280">
        <f t="shared" si="76"/>
        <v>42542</v>
      </c>
      <c r="AL145" s="280">
        <f t="shared" si="76"/>
        <v>44229</v>
      </c>
      <c r="AM145" s="280">
        <f t="shared" si="76"/>
        <v>47355</v>
      </c>
      <c r="AN145" s="280">
        <f t="shared" si="76"/>
        <v>51778</v>
      </c>
      <c r="AO145" s="375">
        <f t="shared" si="76"/>
        <v>51778</v>
      </c>
      <c r="AP145" s="280">
        <f t="shared" si="76"/>
        <v>58734</v>
      </c>
      <c r="AQ145" s="280">
        <f t="shared" si="76"/>
        <v>61483</v>
      </c>
      <c r="AR145" s="280">
        <f t="shared" si="76"/>
        <v>62242</v>
      </c>
      <c r="AS145" s="280">
        <f t="shared" si="76"/>
        <v>66698</v>
      </c>
      <c r="AT145" s="375">
        <f t="shared" si="76"/>
        <v>66698</v>
      </c>
      <c r="AU145" s="280">
        <f t="shared" si="76"/>
        <v>68508</v>
      </c>
      <c r="AV145" s="280">
        <f t="shared" si="76"/>
        <v>68696</v>
      </c>
      <c r="AW145" s="573">
        <f t="shared" si="76"/>
        <v>70500</v>
      </c>
      <c r="AX145" s="280">
        <f t="shared" si="76"/>
        <v>73320</v>
      </c>
      <c r="AY145" s="375">
        <f t="shared" si="76"/>
        <v>73320</v>
      </c>
      <c r="AZ145" s="280">
        <f t="shared" si="76"/>
        <v>74786.399999999994</v>
      </c>
      <c r="BA145" s="280">
        <f t="shared" si="76"/>
        <v>76282.127999999997</v>
      </c>
      <c r="BB145" s="280">
        <f t="shared" si="76"/>
        <v>77807.77055999999</v>
      </c>
      <c r="BC145" s="280">
        <f t="shared" si="76"/>
        <v>79363.925971199991</v>
      </c>
      <c r="BD145" s="375">
        <f t="shared" si="76"/>
        <v>79363.925971200006</v>
      </c>
      <c r="BE145" s="375">
        <f t="shared" si="76"/>
        <v>91268.51486688001</v>
      </c>
      <c r="BF145" s="375">
        <f t="shared" si="76"/>
        <v>104958.79209691202</v>
      </c>
      <c r="BG145" s="375">
        <f t="shared" si="76"/>
        <v>120702.61091144882</v>
      </c>
      <c r="BH145" s="280"/>
    </row>
    <row r="146" spans="1:60" s="57" customFormat="1" x14ac:dyDescent="0.25">
      <c r="A146" s="279" t="str">
        <f>A98</f>
        <v>EoP Latin America Paid Streaming Memberships, 000s</v>
      </c>
      <c r="B146" s="484"/>
      <c r="C146" s="803"/>
      <c r="D146" s="803"/>
      <c r="E146" s="803"/>
      <c r="F146" s="803"/>
      <c r="G146" s="406"/>
      <c r="H146" s="406"/>
      <c r="I146" s="406"/>
      <c r="J146" s="406"/>
      <c r="K146" s="803"/>
      <c r="L146" s="406"/>
      <c r="M146" s="406"/>
      <c r="N146" s="406"/>
      <c r="O146" s="406"/>
      <c r="P146" s="803"/>
      <c r="Q146" s="406"/>
      <c r="R146" s="406"/>
      <c r="S146" s="406"/>
      <c r="T146" s="406"/>
      <c r="U146" s="803"/>
      <c r="V146" s="406"/>
      <c r="W146" s="406"/>
      <c r="X146" s="406"/>
      <c r="Y146" s="406"/>
      <c r="Z146" s="803"/>
      <c r="AA146" s="280">
        <f t="shared" ref="AA146:BG146" si="77">AA98</f>
        <v>15425</v>
      </c>
      <c r="AB146" s="280">
        <f t="shared" si="77"/>
        <v>17013</v>
      </c>
      <c r="AC146" s="280">
        <f t="shared" si="77"/>
        <v>18267</v>
      </c>
      <c r="AD146" s="280">
        <f t="shared" si="77"/>
        <v>19717</v>
      </c>
      <c r="AE146" s="375">
        <f t="shared" si="77"/>
        <v>19717</v>
      </c>
      <c r="AF146" s="280">
        <f t="shared" si="77"/>
        <v>21260</v>
      </c>
      <c r="AG146" s="280">
        <f t="shared" si="77"/>
        <v>22795</v>
      </c>
      <c r="AH146" s="280">
        <f t="shared" si="77"/>
        <v>24115</v>
      </c>
      <c r="AI146" s="280">
        <f t="shared" si="77"/>
        <v>26077</v>
      </c>
      <c r="AJ146" s="375">
        <f t="shared" si="77"/>
        <v>26077</v>
      </c>
      <c r="AK146" s="280">
        <f t="shared" si="77"/>
        <v>27547</v>
      </c>
      <c r="AL146" s="280">
        <f t="shared" si="77"/>
        <v>27890</v>
      </c>
      <c r="AM146" s="280">
        <f t="shared" si="77"/>
        <v>29380</v>
      </c>
      <c r="AN146" s="280">
        <f t="shared" si="77"/>
        <v>31417</v>
      </c>
      <c r="AO146" s="375">
        <f t="shared" si="77"/>
        <v>31417</v>
      </c>
      <c r="AP146" s="280">
        <f t="shared" si="77"/>
        <v>34318</v>
      </c>
      <c r="AQ146" s="280">
        <f t="shared" si="77"/>
        <v>36068</v>
      </c>
      <c r="AR146" s="280">
        <f t="shared" si="77"/>
        <v>36324</v>
      </c>
      <c r="AS146" s="280">
        <f t="shared" si="77"/>
        <v>37537</v>
      </c>
      <c r="AT146" s="375">
        <f t="shared" si="77"/>
        <v>37537</v>
      </c>
      <c r="AU146" s="280">
        <f t="shared" si="77"/>
        <v>37894</v>
      </c>
      <c r="AV146" s="280">
        <f t="shared" si="77"/>
        <v>38658</v>
      </c>
      <c r="AW146" s="573">
        <f t="shared" si="77"/>
        <v>38988</v>
      </c>
      <c r="AX146" s="280">
        <f t="shared" si="77"/>
        <v>40157.64</v>
      </c>
      <c r="AY146" s="375">
        <f t="shared" si="77"/>
        <v>40157.64</v>
      </c>
      <c r="AZ146" s="280">
        <f t="shared" si="77"/>
        <v>40559.216399999998</v>
      </c>
      <c r="BA146" s="280">
        <f t="shared" si="77"/>
        <v>40964.808563999999</v>
      </c>
      <c r="BB146" s="280">
        <f t="shared" si="77"/>
        <v>41374.45664964</v>
      </c>
      <c r="BC146" s="280">
        <f t="shared" si="77"/>
        <v>41788.201216136404</v>
      </c>
      <c r="BD146" s="375">
        <f t="shared" si="77"/>
        <v>41788.201216136396</v>
      </c>
      <c r="BE146" s="375">
        <f t="shared" si="77"/>
        <v>44295.493289104583</v>
      </c>
      <c r="BF146" s="375">
        <f t="shared" si="77"/>
        <v>46953.222886450858</v>
      </c>
      <c r="BG146" s="375">
        <f t="shared" si="77"/>
        <v>49770.41625963791</v>
      </c>
      <c r="BH146" s="280"/>
    </row>
    <row r="147" spans="1:60" s="57" customFormat="1" x14ac:dyDescent="0.25">
      <c r="A147" s="401" t="str">
        <f>A118</f>
        <v>EoP Asia Pacific Paid Streaming Memberships, 000s</v>
      </c>
      <c r="B147" s="488"/>
      <c r="C147" s="548"/>
      <c r="D147" s="548"/>
      <c r="E147" s="548"/>
      <c r="F147" s="548"/>
      <c r="G147" s="489"/>
      <c r="H147" s="489"/>
      <c r="I147" s="489"/>
      <c r="J147" s="489"/>
      <c r="K147" s="548"/>
      <c r="L147" s="489"/>
      <c r="M147" s="489"/>
      <c r="N147" s="489"/>
      <c r="O147" s="489"/>
      <c r="P147" s="548"/>
      <c r="Q147" s="489"/>
      <c r="R147" s="489"/>
      <c r="S147" s="489"/>
      <c r="T147" s="489"/>
      <c r="U147" s="548"/>
      <c r="V147" s="489"/>
      <c r="W147" s="489"/>
      <c r="X147" s="489"/>
      <c r="Y147" s="489"/>
      <c r="Z147" s="548"/>
      <c r="AA147" s="403">
        <f t="shared" ref="AA147:BG147" si="78">AA118</f>
        <v>4664</v>
      </c>
      <c r="AB147" s="403">
        <f t="shared" si="78"/>
        <v>5254</v>
      </c>
      <c r="AC147" s="403">
        <f t="shared" si="78"/>
        <v>5842</v>
      </c>
      <c r="AD147" s="403">
        <f t="shared" si="78"/>
        <v>6501</v>
      </c>
      <c r="AE147" s="402">
        <f t="shared" si="78"/>
        <v>6501</v>
      </c>
      <c r="AF147" s="403">
        <f t="shared" si="78"/>
        <v>7394</v>
      </c>
      <c r="AG147" s="403">
        <f t="shared" si="78"/>
        <v>8372</v>
      </c>
      <c r="AH147" s="403">
        <f t="shared" si="78"/>
        <v>9461</v>
      </c>
      <c r="AI147" s="403">
        <f t="shared" si="78"/>
        <v>10607</v>
      </c>
      <c r="AJ147" s="402">
        <f t="shared" si="78"/>
        <v>10607</v>
      </c>
      <c r="AK147" s="403">
        <f t="shared" si="78"/>
        <v>12141</v>
      </c>
      <c r="AL147" s="403">
        <f t="shared" si="78"/>
        <v>12942</v>
      </c>
      <c r="AM147" s="403">
        <f t="shared" si="78"/>
        <v>14485</v>
      </c>
      <c r="AN147" s="403">
        <f t="shared" si="78"/>
        <v>16233</v>
      </c>
      <c r="AO147" s="402">
        <f t="shared" si="78"/>
        <v>16233</v>
      </c>
      <c r="AP147" s="403">
        <f t="shared" si="78"/>
        <v>19835</v>
      </c>
      <c r="AQ147" s="403">
        <f t="shared" si="78"/>
        <v>22492</v>
      </c>
      <c r="AR147" s="403">
        <f t="shared" si="78"/>
        <v>23504</v>
      </c>
      <c r="AS147" s="403">
        <f t="shared" si="78"/>
        <v>25492</v>
      </c>
      <c r="AT147" s="402">
        <f t="shared" si="78"/>
        <v>25492</v>
      </c>
      <c r="AU147" s="403">
        <f t="shared" si="78"/>
        <v>26853</v>
      </c>
      <c r="AV147" s="403">
        <f t="shared" si="78"/>
        <v>27875</v>
      </c>
      <c r="AW147" s="675">
        <f t="shared" si="78"/>
        <v>30051</v>
      </c>
      <c r="AX147" s="403">
        <f t="shared" si="78"/>
        <v>33356.61</v>
      </c>
      <c r="AY147" s="402">
        <f t="shared" si="78"/>
        <v>33356.61</v>
      </c>
      <c r="AZ147" s="403">
        <f t="shared" si="78"/>
        <v>35358.006600000001</v>
      </c>
      <c r="BA147" s="403">
        <f t="shared" si="78"/>
        <v>37479.486996</v>
      </c>
      <c r="BB147" s="403">
        <f t="shared" si="78"/>
        <v>39728.256215759997</v>
      </c>
      <c r="BC147" s="403">
        <f t="shared" si="78"/>
        <v>42509.234150863194</v>
      </c>
      <c r="BD147" s="402">
        <f t="shared" si="78"/>
        <v>42509.234150863202</v>
      </c>
      <c r="BE147" s="402">
        <f t="shared" si="78"/>
        <v>53136.542688579</v>
      </c>
      <c r="BF147" s="402">
        <f t="shared" si="78"/>
        <v>64826.582080066379</v>
      </c>
      <c r="BG147" s="402">
        <f t="shared" si="78"/>
        <v>79088.430137680989</v>
      </c>
      <c r="BH147" s="280"/>
    </row>
    <row r="148" spans="1:60" customFormat="1" x14ac:dyDescent="0.25">
      <c r="A148" s="379" t="s">
        <v>681</v>
      </c>
      <c r="B148" s="487"/>
      <c r="C148" s="400"/>
      <c r="D148" s="400"/>
      <c r="E148" s="400"/>
      <c r="F148" s="400">
        <f t="shared" ref="F148:Z148" si="79">F141+F142</f>
        <v>30363</v>
      </c>
      <c r="G148" s="399">
        <f t="shared" si="79"/>
        <v>34244</v>
      </c>
      <c r="H148" s="399">
        <f t="shared" si="79"/>
        <v>35638</v>
      </c>
      <c r="I148" s="399">
        <f t="shared" si="79"/>
        <v>38009</v>
      </c>
      <c r="J148" s="399">
        <f t="shared" si="79"/>
        <v>41434</v>
      </c>
      <c r="K148" s="400">
        <f t="shared" si="79"/>
        <v>41434</v>
      </c>
      <c r="L148" s="399">
        <f t="shared" si="79"/>
        <v>46132</v>
      </c>
      <c r="M148" s="399">
        <f t="shared" si="79"/>
        <v>47992</v>
      </c>
      <c r="N148" s="399">
        <f t="shared" si="79"/>
        <v>50654</v>
      </c>
      <c r="O148" s="399">
        <f t="shared" si="79"/>
        <v>54476</v>
      </c>
      <c r="P148" s="400">
        <f t="shared" si="79"/>
        <v>54476</v>
      </c>
      <c r="Q148" s="399">
        <f t="shared" si="79"/>
        <v>59619</v>
      </c>
      <c r="R148" s="399">
        <f t="shared" si="79"/>
        <v>62706</v>
      </c>
      <c r="S148" s="399">
        <f t="shared" si="79"/>
        <v>66019</v>
      </c>
      <c r="T148" s="399">
        <f t="shared" si="79"/>
        <v>70839</v>
      </c>
      <c r="U148" s="400">
        <f t="shared" si="79"/>
        <v>70839</v>
      </c>
      <c r="V148" s="399">
        <f t="shared" si="79"/>
        <v>77707</v>
      </c>
      <c r="W148" s="399">
        <f t="shared" si="79"/>
        <v>79896</v>
      </c>
      <c r="X148" s="399">
        <f t="shared" si="79"/>
        <v>83278</v>
      </c>
      <c r="Y148" s="399">
        <f t="shared" si="79"/>
        <v>89090</v>
      </c>
      <c r="Z148" s="400">
        <f t="shared" si="79"/>
        <v>89090</v>
      </c>
      <c r="AA148" s="89">
        <f t="shared" ref="AA148:BG148" si="80">SUM(AA144:AA147)</f>
        <v>94363</v>
      </c>
      <c r="AB148" s="89">
        <f t="shared" si="80"/>
        <v>99036</v>
      </c>
      <c r="AC148" s="89">
        <f t="shared" si="80"/>
        <v>104023</v>
      </c>
      <c r="AD148" s="89">
        <f t="shared" si="80"/>
        <v>110644</v>
      </c>
      <c r="AE148" s="377">
        <f t="shared" si="80"/>
        <v>110644</v>
      </c>
      <c r="AF148" s="89">
        <f t="shared" si="80"/>
        <v>118902</v>
      </c>
      <c r="AG148" s="89">
        <f t="shared" si="80"/>
        <v>124354</v>
      </c>
      <c r="AH148" s="89">
        <f t="shared" si="80"/>
        <v>130422</v>
      </c>
      <c r="AI148" s="89">
        <f t="shared" si="80"/>
        <v>139259</v>
      </c>
      <c r="AJ148" s="377">
        <f t="shared" si="80"/>
        <v>139259</v>
      </c>
      <c r="AK148" s="89">
        <f t="shared" si="80"/>
        <v>148863</v>
      </c>
      <c r="AL148" s="89">
        <f t="shared" si="80"/>
        <v>151562</v>
      </c>
      <c r="AM148" s="89">
        <f t="shared" si="80"/>
        <v>158334</v>
      </c>
      <c r="AN148" s="89">
        <f t="shared" si="80"/>
        <v>167090</v>
      </c>
      <c r="AO148" s="377">
        <f t="shared" si="80"/>
        <v>167090</v>
      </c>
      <c r="AP148" s="89">
        <f t="shared" si="80"/>
        <v>182856</v>
      </c>
      <c r="AQ148" s="89">
        <f t="shared" si="80"/>
        <v>192947</v>
      </c>
      <c r="AR148" s="89">
        <f t="shared" si="80"/>
        <v>195151</v>
      </c>
      <c r="AS148" s="89">
        <f t="shared" si="80"/>
        <v>203663</v>
      </c>
      <c r="AT148" s="377">
        <f t="shared" si="80"/>
        <v>203663</v>
      </c>
      <c r="AU148" s="89">
        <f t="shared" si="80"/>
        <v>207639</v>
      </c>
      <c r="AV148" s="89">
        <f t="shared" si="80"/>
        <v>209180</v>
      </c>
      <c r="AW148" s="647">
        <f t="shared" si="80"/>
        <v>213563</v>
      </c>
      <c r="AX148" s="89">
        <f t="shared" si="80"/>
        <v>221598.49</v>
      </c>
      <c r="AY148" s="377">
        <f t="shared" si="80"/>
        <v>221598.49</v>
      </c>
      <c r="AZ148" s="89">
        <f t="shared" si="80"/>
        <v>226215.50539999999</v>
      </c>
      <c r="BA148" s="89">
        <f t="shared" si="80"/>
        <v>230993.424784</v>
      </c>
      <c r="BB148" s="89">
        <f t="shared" si="80"/>
        <v>235940.15466163997</v>
      </c>
      <c r="BC148" s="89">
        <f t="shared" si="80"/>
        <v>241461.32928680198</v>
      </c>
      <c r="BD148" s="377">
        <f t="shared" si="80"/>
        <v>241461.32928680201</v>
      </c>
      <c r="BE148" s="377">
        <f t="shared" si="80"/>
        <v>268834.51783162408</v>
      </c>
      <c r="BF148" s="377">
        <f t="shared" si="80"/>
        <v>299276.58306010155</v>
      </c>
      <c r="BG148" s="377">
        <f t="shared" si="80"/>
        <v>334575.58288534021</v>
      </c>
      <c r="BH148" s="89"/>
    </row>
    <row r="149" spans="1:60" s="57" customFormat="1" hidden="1" outlineLevel="1" x14ac:dyDescent="0.25">
      <c r="A149" s="486"/>
      <c r="B149" s="487"/>
      <c r="C149" s="400"/>
      <c r="D149" s="400"/>
      <c r="E149" s="400"/>
      <c r="F149" s="400"/>
      <c r="G149" s="399"/>
      <c r="H149" s="399"/>
      <c r="I149" s="399"/>
      <c r="J149" s="399"/>
      <c r="K149" s="400"/>
      <c r="L149" s="399"/>
      <c r="M149" s="399"/>
      <c r="N149" s="399"/>
      <c r="O149" s="399"/>
      <c r="P149" s="400"/>
      <c r="Q149" s="399"/>
      <c r="R149" s="399"/>
      <c r="S149" s="399"/>
      <c r="T149" s="399"/>
      <c r="U149" s="400"/>
      <c r="V149" s="399"/>
      <c r="W149" s="399"/>
      <c r="X149" s="399"/>
      <c r="Y149" s="399"/>
      <c r="Z149" s="400"/>
      <c r="AA149" s="399"/>
      <c r="AB149" s="399"/>
      <c r="AC149" s="399"/>
      <c r="AD149" s="399"/>
      <c r="AE149" s="400"/>
      <c r="AF149" s="399"/>
      <c r="AG149" s="399"/>
      <c r="AH149" s="399"/>
      <c r="AI149" s="399"/>
      <c r="AJ149" s="400"/>
      <c r="AK149" s="399"/>
      <c r="AL149" s="399"/>
      <c r="AM149" s="399"/>
      <c r="AN149" s="399"/>
      <c r="AO149" s="400"/>
      <c r="AP149" s="399"/>
      <c r="AQ149" s="399"/>
      <c r="AR149" s="399"/>
      <c r="AS149" s="399"/>
      <c r="AT149" s="400"/>
      <c r="AU149" s="399"/>
      <c r="AV149" s="399"/>
      <c r="AW149" s="574"/>
      <c r="AX149" s="399"/>
      <c r="AY149" s="400"/>
      <c r="AZ149" s="399"/>
      <c r="BA149" s="399"/>
      <c r="BB149" s="399"/>
      <c r="BC149" s="399"/>
      <c r="BD149" s="400"/>
      <c r="BE149" s="400"/>
      <c r="BF149" s="400"/>
      <c r="BG149" s="400"/>
      <c r="BH149" s="89"/>
    </row>
    <row r="150" spans="1:60" s="416" customFormat="1" hidden="1" outlineLevel="2" x14ac:dyDescent="0.25">
      <c r="A150" s="175" t="s">
        <v>646</v>
      </c>
      <c r="B150" s="496"/>
      <c r="C150" s="325"/>
      <c r="D150" s="325"/>
      <c r="E150" s="325"/>
      <c r="F150" s="325">
        <f t="shared" ref="F150:Z150" si="81">F141/F148</f>
        <v>0.16111714916180878</v>
      </c>
      <c r="G150" s="168">
        <f t="shared" si="81"/>
        <v>0.18487910290853873</v>
      </c>
      <c r="H150" s="168">
        <f t="shared" si="81"/>
        <v>0.19681239126774791</v>
      </c>
      <c r="I150" s="168">
        <f t="shared" si="81"/>
        <v>0.21268646899418558</v>
      </c>
      <c r="J150" s="168">
        <f t="shared" si="81"/>
        <v>0.23463821981947194</v>
      </c>
      <c r="K150" s="325">
        <f t="shared" si="81"/>
        <v>0.23463821981947194</v>
      </c>
      <c r="L150" s="168">
        <f t="shared" si="81"/>
        <v>0.25481227781149746</v>
      </c>
      <c r="M150" s="168">
        <f t="shared" si="81"/>
        <v>0.26894065677612933</v>
      </c>
      <c r="N150" s="168">
        <f t="shared" si="81"/>
        <v>0.28406443716192203</v>
      </c>
      <c r="O150" s="168">
        <f t="shared" si="81"/>
        <v>0.30798883912181513</v>
      </c>
      <c r="P150" s="325">
        <f t="shared" si="81"/>
        <v>0.30798883912181513</v>
      </c>
      <c r="Q150" s="168">
        <f t="shared" si="81"/>
        <v>0.32378939599792012</v>
      </c>
      <c r="R150" s="168">
        <f t="shared" si="81"/>
        <v>0.34524606895671867</v>
      </c>
      <c r="S150" s="168">
        <f t="shared" si="81"/>
        <v>0.36278949999242643</v>
      </c>
      <c r="T150" s="168">
        <f t="shared" si="81"/>
        <v>0.38732901367890571</v>
      </c>
      <c r="U150" s="325">
        <f t="shared" si="81"/>
        <v>0.38732901367890571</v>
      </c>
      <c r="V150" s="168">
        <f t="shared" si="81"/>
        <v>0.41171323046829755</v>
      </c>
      <c r="W150" s="168">
        <f t="shared" si="81"/>
        <v>0.42420146190047059</v>
      </c>
      <c r="X150" s="168">
        <f t="shared" si="81"/>
        <v>0.44188140925574582</v>
      </c>
      <c r="Y150" s="168">
        <f t="shared" si="81"/>
        <v>0.46228532944213718</v>
      </c>
      <c r="Z150" s="325">
        <f t="shared" si="81"/>
        <v>0.46228532944213718</v>
      </c>
      <c r="AA150" s="168"/>
      <c r="AB150" s="168"/>
      <c r="AC150" s="168"/>
      <c r="AD150" s="168"/>
      <c r="AE150" s="325"/>
      <c r="AF150" s="168"/>
      <c r="AG150" s="168"/>
      <c r="AH150" s="168"/>
      <c r="AI150" s="168"/>
      <c r="AJ150" s="325"/>
      <c r="AK150" s="168"/>
      <c r="AL150" s="168"/>
      <c r="AM150" s="168"/>
      <c r="AN150" s="168"/>
      <c r="AO150" s="325"/>
      <c r="AP150" s="168"/>
      <c r="AQ150" s="168"/>
      <c r="AR150" s="168"/>
      <c r="AS150" s="168"/>
      <c r="AT150" s="325"/>
      <c r="AU150" s="168"/>
      <c r="AV150" s="168"/>
      <c r="AW150" s="579"/>
      <c r="AX150" s="168"/>
      <c r="AY150" s="325"/>
      <c r="AZ150" s="168"/>
      <c r="BA150" s="168"/>
      <c r="BB150" s="168"/>
      <c r="BC150" s="168"/>
      <c r="BD150" s="325"/>
      <c r="BE150" s="325"/>
      <c r="BF150" s="325"/>
      <c r="BG150" s="325"/>
      <c r="BH150" s="67"/>
    </row>
    <row r="151" spans="1:60" s="416" customFormat="1" hidden="1" outlineLevel="2" x14ac:dyDescent="0.25">
      <c r="A151" s="181" t="s">
        <v>642</v>
      </c>
      <c r="B151" s="496"/>
      <c r="C151" s="325"/>
      <c r="D151" s="325"/>
      <c r="E151" s="325"/>
      <c r="F151" s="325">
        <f t="shared" ref="F151:AO151" si="82">F142/F$148</f>
        <v>0.83888285083819125</v>
      </c>
      <c r="G151" s="168">
        <f t="shared" si="82"/>
        <v>0.81512089709146129</v>
      </c>
      <c r="H151" s="168">
        <f t="shared" si="82"/>
        <v>0.80318760873225215</v>
      </c>
      <c r="I151" s="168">
        <f t="shared" si="82"/>
        <v>0.78731353100581436</v>
      </c>
      <c r="J151" s="168">
        <f t="shared" si="82"/>
        <v>0.76536178018052803</v>
      </c>
      <c r="K151" s="325">
        <f t="shared" si="82"/>
        <v>0.76536178018052803</v>
      </c>
      <c r="L151" s="168">
        <f t="shared" si="82"/>
        <v>0.7451877221885026</v>
      </c>
      <c r="M151" s="168">
        <f t="shared" si="82"/>
        <v>0.73105934322387067</v>
      </c>
      <c r="N151" s="168">
        <f t="shared" si="82"/>
        <v>0.71593556283807791</v>
      </c>
      <c r="O151" s="168">
        <f t="shared" si="82"/>
        <v>0.69201116087818493</v>
      </c>
      <c r="P151" s="325">
        <f t="shared" si="82"/>
        <v>0.69201116087818493</v>
      </c>
      <c r="Q151" s="168">
        <f t="shared" si="82"/>
        <v>0.67621060400207988</v>
      </c>
      <c r="R151" s="168">
        <f t="shared" si="82"/>
        <v>0.65475393104328139</v>
      </c>
      <c r="S151" s="168">
        <f t="shared" si="82"/>
        <v>0.63721050000757362</v>
      </c>
      <c r="T151" s="168">
        <f t="shared" si="82"/>
        <v>0.61267098632109429</v>
      </c>
      <c r="U151" s="325">
        <f t="shared" si="82"/>
        <v>0.61267098632109429</v>
      </c>
      <c r="V151" s="168">
        <f t="shared" si="82"/>
        <v>0.58828676953170245</v>
      </c>
      <c r="W151" s="168">
        <f t="shared" si="82"/>
        <v>0.57579853809952941</v>
      </c>
      <c r="X151" s="168">
        <f t="shared" si="82"/>
        <v>0.55811859074425418</v>
      </c>
      <c r="Y151" s="168">
        <f t="shared" si="82"/>
        <v>0.53771467055786282</v>
      </c>
      <c r="Z151" s="325">
        <f t="shared" si="82"/>
        <v>0.53771467055786282</v>
      </c>
      <c r="AA151" s="67">
        <f t="shared" si="82"/>
        <v>0.52324533980479637</v>
      </c>
      <c r="AB151" s="67">
        <f t="shared" si="82"/>
        <v>0.50812835736499862</v>
      </c>
      <c r="AC151" s="67">
        <f t="shared" si="82"/>
        <v>0.4935927631389212</v>
      </c>
      <c r="AD151" s="67">
        <f t="shared" si="82"/>
        <v>0.47729655471602617</v>
      </c>
      <c r="AE151" s="45">
        <f t="shared" si="82"/>
        <v>0.47729655471602617</v>
      </c>
      <c r="AF151" s="67">
        <f t="shared" si="82"/>
        <v>0.46329750550873827</v>
      </c>
      <c r="AG151" s="67">
        <f t="shared" si="82"/>
        <v>0.44999758753236729</v>
      </c>
      <c r="AH151" s="67">
        <f t="shared" si="82"/>
        <v>0.4367131312201929</v>
      </c>
      <c r="AI151" s="67">
        <f t="shared" si="82"/>
        <v>0.41998003719687776</v>
      </c>
      <c r="AJ151" s="45">
        <f t="shared" si="82"/>
        <v>0.41998003719687776</v>
      </c>
      <c r="AK151" s="67">
        <f t="shared" si="82"/>
        <v>0.40459348528512795</v>
      </c>
      <c r="AL151" s="67">
        <f t="shared" si="82"/>
        <v>0.39655718451854688</v>
      </c>
      <c r="AM151" s="67">
        <f t="shared" si="82"/>
        <v>0.38286154584612275</v>
      </c>
      <c r="AN151" s="67">
        <f t="shared" si="82"/>
        <v>0.36533006164342569</v>
      </c>
      <c r="AO151" s="45">
        <f t="shared" si="82"/>
        <v>0.36533006164342569</v>
      </c>
      <c r="AP151" s="168"/>
      <c r="AQ151" s="168"/>
      <c r="AR151" s="168"/>
      <c r="AS151" s="168"/>
      <c r="AT151" s="325"/>
      <c r="AU151" s="168"/>
      <c r="AV151" s="168"/>
      <c r="AW151" s="579"/>
      <c r="AX151" s="168"/>
      <c r="AY151" s="325"/>
      <c r="AZ151" s="168"/>
      <c r="BA151" s="168"/>
      <c r="BB151" s="168"/>
      <c r="BC151" s="168"/>
      <c r="BD151" s="325"/>
      <c r="BE151" s="325"/>
      <c r="BF151" s="325"/>
      <c r="BG151" s="325"/>
      <c r="BH151" s="67"/>
    </row>
    <row r="152" spans="1:60" s="416" customFormat="1" hidden="1" outlineLevel="2" x14ac:dyDescent="0.25">
      <c r="A152" s="66" t="s">
        <v>643</v>
      </c>
      <c r="B152" s="498"/>
      <c r="C152" s="342"/>
      <c r="D152" s="342"/>
      <c r="E152" s="342"/>
      <c r="F152" s="342"/>
      <c r="G152" s="333"/>
      <c r="H152" s="333"/>
      <c r="I152" s="333"/>
      <c r="J152" s="333"/>
      <c r="K152" s="342"/>
      <c r="L152" s="333"/>
      <c r="M152" s="333"/>
      <c r="N152" s="333"/>
      <c r="O152" s="333"/>
      <c r="P152" s="342"/>
      <c r="Q152" s="333"/>
      <c r="R152" s="333"/>
      <c r="S152" s="333"/>
      <c r="T152" s="333"/>
      <c r="U152" s="342"/>
      <c r="V152" s="333"/>
      <c r="W152" s="333"/>
      <c r="X152" s="333"/>
      <c r="Y152" s="333"/>
      <c r="Z152" s="342"/>
      <c r="AA152" s="332">
        <f t="shared" ref="AA152:AO152" si="83">AA143/AA$148</f>
        <v>5.5106344647796277E-2</v>
      </c>
      <c r="AB152" s="332">
        <f t="shared" si="83"/>
        <v>5.3455309180500017E-2</v>
      </c>
      <c r="AC152" s="332">
        <f t="shared" si="83"/>
        <v>5.2238447266469916E-2</v>
      </c>
      <c r="AD152" s="332">
        <f t="shared" si="83"/>
        <v>5.0721232059578465E-2</v>
      </c>
      <c r="AE152" s="341">
        <f t="shared" si="83"/>
        <v>5.0721232059578465E-2</v>
      </c>
      <c r="AF152" s="332">
        <f t="shared" si="83"/>
        <v>4.8964693613227701E-2</v>
      </c>
      <c r="AG152" s="332">
        <f t="shared" si="83"/>
        <v>4.7533653923476527E-2</v>
      </c>
      <c r="AH152" s="332">
        <f t="shared" si="83"/>
        <v>4.6410881599730107E-2</v>
      </c>
      <c r="AI152" s="332">
        <f t="shared" si="83"/>
        <v>4.503120085595904E-2</v>
      </c>
      <c r="AJ152" s="341">
        <f t="shared" si="83"/>
        <v>4.503120085595904E-2</v>
      </c>
      <c r="AK152" s="332">
        <f t="shared" si="83"/>
        <v>4.3019420541034373E-2</v>
      </c>
      <c r="AL152" s="332">
        <f t="shared" si="83"/>
        <v>4.2213747509270136E-2</v>
      </c>
      <c r="AM152" s="332">
        <f t="shared" si="83"/>
        <v>4.1014564149203583E-2</v>
      </c>
      <c r="AN152" s="332">
        <f t="shared" si="83"/>
        <v>3.9613382009695372E-2</v>
      </c>
      <c r="AO152" s="341">
        <f t="shared" si="83"/>
        <v>3.9613382009695372E-2</v>
      </c>
      <c r="AP152" s="333"/>
      <c r="AQ152" s="333"/>
      <c r="AR152" s="333"/>
      <c r="AS152" s="333"/>
      <c r="AT152" s="342"/>
      <c r="AU152" s="333"/>
      <c r="AV152" s="333"/>
      <c r="AW152" s="580"/>
      <c r="AX152" s="333"/>
      <c r="AY152" s="342"/>
      <c r="AZ152" s="333"/>
      <c r="BA152" s="333"/>
      <c r="BB152" s="333"/>
      <c r="BC152" s="333"/>
      <c r="BD152" s="342"/>
      <c r="BE152" s="342"/>
      <c r="BF152" s="342"/>
      <c r="BG152" s="342"/>
      <c r="BH152" s="67"/>
    </row>
    <row r="153" spans="1:60" s="416" customFormat="1" hidden="1" outlineLevel="1" collapsed="1" x14ac:dyDescent="0.25">
      <c r="A153" s="175" t="s">
        <v>754</v>
      </c>
      <c r="B153" s="496"/>
      <c r="C153" s="325"/>
      <c r="D153" s="325"/>
      <c r="E153" s="325"/>
      <c r="F153" s="325"/>
      <c r="G153" s="168"/>
      <c r="H153" s="168"/>
      <c r="I153" s="168"/>
      <c r="J153" s="168"/>
      <c r="K153" s="325"/>
      <c r="L153" s="168"/>
      <c r="M153" s="168"/>
      <c r="N153" s="168"/>
      <c r="O153" s="168"/>
      <c r="P153" s="325"/>
      <c r="Q153" s="168"/>
      <c r="R153" s="168"/>
      <c r="S153" s="168"/>
      <c r="T153" s="168"/>
      <c r="U153" s="325"/>
      <c r="V153" s="168"/>
      <c r="W153" s="168"/>
      <c r="X153" s="168"/>
      <c r="Y153" s="168"/>
      <c r="Z153" s="325"/>
      <c r="AA153" s="67">
        <f t="shared" ref="AA153:AO153" si="84">AA144/AA$148</f>
        <v>0.57835168445259266</v>
      </c>
      <c r="AB153" s="67">
        <f t="shared" si="84"/>
        <v>0.56158366654549863</v>
      </c>
      <c r="AC153" s="67">
        <f t="shared" si="84"/>
        <v>0.54583121040539107</v>
      </c>
      <c r="AD153" s="67">
        <f t="shared" si="84"/>
        <v>0.52801778677560463</v>
      </c>
      <c r="AE153" s="45">
        <f t="shared" si="84"/>
        <v>0.52801778677560463</v>
      </c>
      <c r="AF153" s="67">
        <f t="shared" si="84"/>
        <v>0.51226219912196602</v>
      </c>
      <c r="AG153" s="67">
        <f t="shared" si="84"/>
        <v>0.49753124145584382</v>
      </c>
      <c r="AH153" s="67">
        <f t="shared" si="84"/>
        <v>0.48312401281992301</v>
      </c>
      <c r="AI153" s="67">
        <f t="shared" si="84"/>
        <v>0.46501123805283678</v>
      </c>
      <c r="AJ153" s="45">
        <f t="shared" si="84"/>
        <v>0.46501123805283678</v>
      </c>
      <c r="AK153" s="67">
        <f t="shared" si="84"/>
        <v>0.44761290582616231</v>
      </c>
      <c r="AL153" s="67">
        <f t="shared" si="84"/>
        <v>0.43877093202781697</v>
      </c>
      <c r="AM153" s="67">
        <f t="shared" si="84"/>
        <v>0.42387610999532632</v>
      </c>
      <c r="AN153" s="67">
        <f t="shared" si="84"/>
        <v>0.40494344365312107</v>
      </c>
      <c r="AO153" s="45">
        <f t="shared" si="84"/>
        <v>0.40494344365312107</v>
      </c>
      <c r="AP153" s="67">
        <f t="shared" ref="AP153:BG153" si="85">AP144/AP$148</f>
        <v>0.38264536028350177</v>
      </c>
      <c r="AQ153" s="67">
        <f t="shared" si="85"/>
        <v>0.37784469310225088</v>
      </c>
      <c r="AR153" s="67">
        <f t="shared" si="85"/>
        <v>0.37448437363887449</v>
      </c>
      <c r="AS153" s="67">
        <f t="shared" si="85"/>
        <v>0.36303108566602671</v>
      </c>
      <c r="AT153" s="45">
        <f t="shared" si="85"/>
        <v>0.36303108566602671</v>
      </c>
      <c r="AU153" s="67">
        <f t="shared" si="85"/>
        <v>0.35823713271591562</v>
      </c>
      <c r="AV153" s="67">
        <f t="shared" si="85"/>
        <v>0.35352806195620995</v>
      </c>
      <c r="AW153" s="642">
        <f t="shared" si="85"/>
        <v>0.34661434799099095</v>
      </c>
      <c r="AX153" s="67">
        <f t="shared" si="85"/>
        <v>0.33738605348799988</v>
      </c>
      <c r="AY153" s="45">
        <f t="shared" si="85"/>
        <v>0.33738605348799988</v>
      </c>
      <c r="AZ153" s="67">
        <f t="shared" si="85"/>
        <v>0.33380506904899371</v>
      </c>
      <c r="BA153" s="67">
        <f t="shared" si="85"/>
        <v>0.33016957645143635</v>
      </c>
      <c r="BB153" s="67">
        <f t="shared" si="85"/>
        <v>0.32647970137473081</v>
      </c>
      <c r="BC153" s="67">
        <f t="shared" si="85"/>
        <v>0.32220467011590692</v>
      </c>
      <c r="BD153" s="45">
        <f t="shared" si="85"/>
        <v>0.32220467011590692</v>
      </c>
      <c r="BE153" s="45">
        <f t="shared" si="85"/>
        <v>0.29807915900609844</v>
      </c>
      <c r="BF153" s="45">
        <f t="shared" si="85"/>
        <v>0.27579166118752696</v>
      </c>
      <c r="BG153" s="45">
        <f t="shared" si="85"/>
        <v>0.25409542693887194</v>
      </c>
      <c r="BH153" s="67"/>
    </row>
    <row r="154" spans="1:60" s="416" customFormat="1" hidden="1" outlineLevel="1" x14ac:dyDescent="0.25">
      <c r="A154" s="509" t="s">
        <v>755</v>
      </c>
      <c r="B154" s="496"/>
      <c r="C154" s="325"/>
      <c r="D154" s="325"/>
      <c r="E154" s="325"/>
      <c r="F154" s="325"/>
      <c r="G154" s="168"/>
      <c r="H154" s="168"/>
      <c r="I154" s="168"/>
      <c r="J154" s="168"/>
      <c r="K154" s="325"/>
      <c r="L154" s="168"/>
      <c r="M154" s="168"/>
      <c r="N154" s="168"/>
      <c r="O154" s="168"/>
      <c r="P154" s="325"/>
      <c r="Q154" s="168"/>
      <c r="R154" s="168"/>
      <c r="S154" s="168"/>
      <c r="T154" s="168"/>
      <c r="U154" s="325"/>
      <c r="V154" s="168"/>
      <c r="W154" s="168"/>
      <c r="X154" s="168"/>
      <c r="Y154" s="168"/>
      <c r="Z154" s="325"/>
      <c r="AA154" s="168">
        <f t="shared" ref="AA154:AO154" si="86">AA145/AA$148</f>
        <v>0.20875766984941133</v>
      </c>
      <c r="AB154" s="168">
        <f t="shared" si="86"/>
        <v>0.21357890060180137</v>
      </c>
      <c r="AC154" s="168">
        <f t="shared" si="86"/>
        <v>0.22240273785605105</v>
      </c>
      <c r="AD154" s="168">
        <f t="shared" si="86"/>
        <v>0.23502404106865263</v>
      </c>
      <c r="AE154" s="325">
        <f t="shared" si="86"/>
        <v>0.23502404106865263</v>
      </c>
      <c r="AF154" s="168">
        <f t="shared" si="86"/>
        <v>0.24674942389530874</v>
      </c>
      <c r="AG154" s="168">
        <f t="shared" si="86"/>
        <v>0.25183749618025958</v>
      </c>
      <c r="AH154" s="168">
        <f t="shared" si="86"/>
        <v>0.2594347579396114</v>
      </c>
      <c r="AI154" s="168">
        <f t="shared" si="86"/>
        <v>0.27156593110678662</v>
      </c>
      <c r="AJ154" s="325">
        <f t="shared" si="86"/>
        <v>0.27156593110678662</v>
      </c>
      <c r="AK154" s="168">
        <f t="shared" si="86"/>
        <v>0.28577954226369212</v>
      </c>
      <c r="AL154" s="168">
        <f t="shared" si="86"/>
        <v>0.29182116889457782</v>
      </c>
      <c r="AM154" s="168">
        <f t="shared" si="86"/>
        <v>0.29908295122967904</v>
      </c>
      <c r="AN154" s="168">
        <f t="shared" si="86"/>
        <v>0.30988090250763062</v>
      </c>
      <c r="AO154" s="325">
        <f t="shared" si="86"/>
        <v>0.30988090250763062</v>
      </c>
      <c r="AP154" s="168">
        <f t="shared" ref="AP154:BG154" si="87">AP145/AP$148</f>
        <v>0.32120357002231265</v>
      </c>
      <c r="AQ154" s="168">
        <f t="shared" si="87"/>
        <v>0.31865227238568106</v>
      </c>
      <c r="AR154" s="168">
        <f t="shared" si="87"/>
        <v>0.31894276739550398</v>
      </c>
      <c r="AS154" s="168">
        <f t="shared" si="87"/>
        <v>0.32749198430740978</v>
      </c>
      <c r="AT154" s="325">
        <f t="shared" si="87"/>
        <v>0.32749198430740978</v>
      </c>
      <c r="AU154" s="168">
        <f t="shared" si="87"/>
        <v>0.32993801742447226</v>
      </c>
      <c r="AV154" s="168">
        <f t="shared" si="87"/>
        <v>0.3284061573764222</v>
      </c>
      <c r="AW154" s="579">
        <f t="shared" si="87"/>
        <v>0.33011336233336297</v>
      </c>
      <c r="AX154" s="168">
        <f t="shared" si="87"/>
        <v>0.33086868055824747</v>
      </c>
      <c r="AY154" s="325">
        <f t="shared" si="87"/>
        <v>0.33086868055824747</v>
      </c>
      <c r="AZ154" s="168">
        <f t="shared" si="87"/>
        <v>0.3305980280518826</v>
      </c>
      <c r="BA154" s="168">
        <f t="shared" si="87"/>
        <v>0.33023506219421944</v>
      </c>
      <c r="BB154" s="168">
        <f t="shared" si="87"/>
        <v>0.32977756868721025</v>
      </c>
      <c r="BC154" s="168">
        <f t="shared" si="87"/>
        <v>0.32868172392496614</v>
      </c>
      <c r="BD154" s="325">
        <f t="shared" si="87"/>
        <v>0.3286817239249662</v>
      </c>
      <c r="BE154" s="325">
        <f t="shared" si="87"/>
        <v>0.33949700954712642</v>
      </c>
      <c r="BF154" s="325">
        <f t="shared" si="87"/>
        <v>0.35070833482429165</v>
      </c>
      <c r="BG154" s="325">
        <f t="shared" si="87"/>
        <v>0.36076335837338697</v>
      </c>
      <c r="BH154" s="67"/>
    </row>
    <row r="155" spans="1:60" s="416" customFormat="1" hidden="1" outlineLevel="1" x14ac:dyDescent="0.25">
      <c r="A155" s="509" t="s">
        <v>756</v>
      </c>
      <c r="B155" s="496"/>
      <c r="C155" s="325"/>
      <c r="D155" s="325"/>
      <c r="E155" s="325"/>
      <c r="F155" s="325"/>
      <c r="G155" s="168"/>
      <c r="H155" s="168"/>
      <c r="I155" s="168"/>
      <c r="J155" s="168"/>
      <c r="K155" s="325"/>
      <c r="L155" s="168"/>
      <c r="M155" s="168"/>
      <c r="N155" s="168"/>
      <c r="O155" s="168"/>
      <c r="P155" s="325"/>
      <c r="Q155" s="168"/>
      <c r="R155" s="168"/>
      <c r="S155" s="168"/>
      <c r="T155" s="168"/>
      <c r="U155" s="325"/>
      <c r="V155" s="168"/>
      <c r="W155" s="168"/>
      <c r="X155" s="168"/>
      <c r="Y155" s="168"/>
      <c r="Z155" s="325"/>
      <c r="AA155" s="168">
        <f t="shared" ref="AA155:AO155" si="88">AA146/AA$148</f>
        <v>0.16346449349851108</v>
      </c>
      <c r="AB155" s="168">
        <f t="shared" si="88"/>
        <v>0.17178601720586453</v>
      </c>
      <c r="AC155" s="168">
        <f t="shared" si="88"/>
        <v>0.17560539496072983</v>
      </c>
      <c r="AD155" s="168">
        <f t="shared" si="88"/>
        <v>0.1782021618885796</v>
      </c>
      <c r="AE155" s="325">
        <f t="shared" si="88"/>
        <v>0.1782021618885796</v>
      </c>
      <c r="AF155" s="168">
        <f t="shared" si="88"/>
        <v>0.17880271147667828</v>
      </c>
      <c r="AG155" s="168">
        <f t="shared" si="88"/>
        <v>0.18330733229329174</v>
      </c>
      <c r="AH155" s="168">
        <f t="shared" si="88"/>
        <v>0.18489978684577754</v>
      </c>
      <c r="AI155" s="168">
        <f t="shared" si="88"/>
        <v>0.18725540180526931</v>
      </c>
      <c r="AJ155" s="325">
        <f t="shared" si="88"/>
        <v>0.18725540180526931</v>
      </c>
      <c r="AK155" s="168">
        <f t="shared" si="88"/>
        <v>0.18504934066893722</v>
      </c>
      <c r="AL155" s="168">
        <f t="shared" si="88"/>
        <v>0.18401710191208878</v>
      </c>
      <c r="AM155" s="168">
        <f t="shared" si="88"/>
        <v>0.18555711344373288</v>
      </c>
      <c r="AN155" s="168">
        <f t="shared" si="88"/>
        <v>0.18802441797833502</v>
      </c>
      <c r="AO155" s="325">
        <f t="shared" si="88"/>
        <v>0.18802441797833502</v>
      </c>
      <c r="AP155" s="168">
        <f t="shared" ref="AP155:BG155" si="89">AP146/AP$148</f>
        <v>0.18767773548584679</v>
      </c>
      <c r="AQ155" s="168">
        <f t="shared" si="89"/>
        <v>0.18693216271825941</v>
      </c>
      <c r="AR155" s="168">
        <f t="shared" si="89"/>
        <v>0.18613278948096601</v>
      </c>
      <c r="AS155" s="168">
        <f t="shared" si="89"/>
        <v>0.18430937381851392</v>
      </c>
      <c r="AT155" s="325">
        <f t="shared" si="89"/>
        <v>0.18430937381851392</v>
      </c>
      <c r="AU155" s="168">
        <f t="shared" si="89"/>
        <v>0.1824994341140152</v>
      </c>
      <c r="AV155" s="168">
        <f t="shared" si="89"/>
        <v>0.1848073429582178</v>
      </c>
      <c r="AW155" s="579">
        <f t="shared" si="89"/>
        <v>0.18255971305891003</v>
      </c>
      <c r="AX155" s="168">
        <f t="shared" si="89"/>
        <v>0.18121802183760369</v>
      </c>
      <c r="AY155" s="325">
        <f t="shared" si="89"/>
        <v>0.18121802183760369</v>
      </c>
      <c r="AZ155" s="168">
        <f t="shared" si="89"/>
        <v>0.17929459047593649</v>
      </c>
      <c r="BA155" s="168">
        <f t="shared" si="89"/>
        <v>0.1773418814942713</v>
      </c>
      <c r="BB155" s="168">
        <f t="shared" si="89"/>
        <v>0.17535996239798521</v>
      </c>
      <c r="BC155" s="168">
        <f t="shared" si="89"/>
        <v>0.17306374208890973</v>
      </c>
      <c r="BD155" s="325">
        <f t="shared" si="89"/>
        <v>0.17306374208890968</v>
      </c>
      <c r="BE155" s="325">
        <f t="shared" si="89"/>
        <v>0.16476862289256936</v>
      </c>
      <c r="BF155" s="325">
        <f t="shared" si="89"/>
        <v>0.15688906364258237</v>
      </c>
      <c r="BG155" s="325">
        <f t="shared" si="89"/>
        <v>0.14875686931611606</v>
      </c>
      <c r="BH155" s="67"/>
    </row>
    <row r="156" spans="1:60" s="416" customFormat="1" hidden="1" outlineLevel="1" x14ac:dyDescent="0.25">
      <c r="A156" s="677" t="s">
        <v>757</v>
      </c>
      <c r="B156" s="498"/>
      <c r="C156" s="342"/>
      <c r="D156" s="342"/>
      <c r="E156" s="342"/>
      <c r="F156" s="342"/>
      <c r="G156" s="333"/>
      <c r="H156" s="333"/>
      <c r="I156" s="333"/>
      <c r="J156" s="333"/>
      <c r="K156" s="342"/>
      <c r="L156" s="333"/>
      <c r="M156" s="333"/>
      <c r="N156" s="333"/>
      <c r="O156" s="333"/>
      <c r="P156" s="342"/>
      <c r="Q156" s="333"/>
      <c r="R156" s="333"/>
      <c r="S156" s="333"/>
      <c r="T156" s="333"/>
      <c r="U156" s="342"/>
      <c r="V156" s="333"/>
      <c r="W156" s="333"/>
      <c r="X156" s="333"/>
      <c r="Y156" s="333"/>
      <c r="Z156" s="342"/>
      <c r="AA156" s="333">
        <f t="shared" ref="AA156:AO156" si="90">AA147/AA$148</f>
        <v>4.9426152199484964E-2</v>
      </c>
      <c r="AB156" s="333">
        <f t="shared" si="90"/>
        <v>5.3051415646835492E-2</v>
      </c>
      <c r="AC156" s="333">
        <f t="shared" si="90"/>
        <v>5.6160656777827979E-2</v>
      </c>
      <c r="AD156" s="333">
        <f t="shared" si="90"/>
        <v>5.8756010267163157E-2</v>
      </c>
      <c r="AE156" s="342">
        <f t="shared" si="90"/>
        <v>5.8756010267163157E-2</v>
      </c>
      <c r="AF156" s="333">
        <f t="shared" si="90"/>
        <v>6.2185665506046997E-2</v>
      </c>
      <c r="AG156" s="333">
        <f t="shared" si="90"/>
        <v>6.7323930070604887E-2</v>
      </c>
      <c r="AH156" s="333">
        <f t="shared" si="90"/>
        <v>7.2541442394688016E-2</v>
      </c>
      <c r="AI156" s="333">
        <f t="shared" si="90"/>
        <v>7.6167429035107245E-2</v>
      </c>
      <c r="AJ156" s="342">
        <f t="shared" si="90"/>
        <v>7.6167429035107245E-2</v>
      </c>
      <c r="AK156" s="333">
        <f t="shared" si="90"/>
        <v>8.1558211241208364E-2</v>
      </c>
      <c r="AL156" s="333">
        <f t="shared" si="90"/>
        <v>8.5390797165516424E-2</v>
      </c>
      <c r="AM156" s="333">
        <f t="shared" si="90"/>
        <v>9.1483825331261759E-2</v>
      </c>
      <c r="AN156" s="333">
        <f t="shared" si="90"/>
        <v>9.7151235860913274E-2</v>
      </c>
      <c r="AO156" s="342">
        <f t="shared" si="90"/>
        <v>9.7151235860913274E-2</v>
      </c>
      <c r="AP156" s="333">
        <f t="shared" ref="AP156:BG156" si="91">AP147/AP$148</f>
        <v>0.1084733342083388</v>
      </c>
      <c r="AQ156" s="333">
        <f t="shared" si="91"/>
        <v>0.11657087179380866</v>
      </c>
      <c r="AR156" s="333">
        <f t="shared" si="91"/>
        <v>0.12044006948465547</v>
      </c>
      <c r="AS156" s="333">
        <f t="shared" si="91"/>
        <v>0.12516755620804956</v>
      </c>
      <c r="AT156" s="342">
        <f t="shared" si="91"/>
        <v>0.12516755620804956</v>
      </c>
      <c r="AU156" s="333">
        <f t="shared" si="91"/>
        <v>0.12932541574559692</v>
      </c>
      <c r="AV156" s="333">
        <f t="shared" si="91"/>
        <v>0.13325843770915002</v>
      </c>
      <c r="AW156" s="580">
        <f t="shared" si="91"/>
        <v>0.14071257661673606</v>
      </c>
      <c r="AX156" s="333">
        <f t="shared" si="91"/>
        <v>0.15052724411614898</v>
      </c>
      <c r="AY156" s="342">
        <f t="shared" si="91"/>
        <v>0.15052724411614898</v>
      </c>
      <c r="AZ156" s="333">
        <f t="shared" si="91"/>
        <v>0.15630231242318723</v>
      </c>
      <c r="BA156" s="333">
        <f t="shared" si="91"/>
        <v>0.16225347986007285</v>
      </c>
      <c r="BB156" s="333">
        <f t="shared" si="91"/>
        <v>0.16838276754007386</v>
      </c>
      <c r="BC156" s="333">
        <f t="shared" si="91"/>
        <v>0.17604986387021726</v>
      </c>
      <c r="BD156" s="342">
        <f t="shared" si="91"/>
        <v>0.17604986387021729</v>
      </c>
      <c r="BE156" s="342">
        <f t="shared" si="91"/>
        <v>0.19765520855420574</v>
      </c>
      <c r="BF156" s="342">
        <f t="shared" si="91"/>
        <v>0.21661094034559905</v>
      </c>
      <c r="BG156" s="342">
        <f t="shared" si="91"/>
        <v>0.23638434537162495</v>
      </c>
      <c r="BH156" s="67"/>
    </row>
    <row r="157" spans="1:60" s="416" customFormat="1" hidden="1" outlineLevel="1" x14ac:dyDescent="0.25">
      <c r="A157" s="678" t="s">
        <v>644</v>
      </c>
      <c r="B157" s="679"/>
      <c r="C157" s="98"/>
      <c r="D157" s="98"/>
      <c r="E157" s="98"/>
      <c r="F157" s="98">
        <f t="shared" ref="F157:Z157" si="92">F150+F151</f>
        <v>1</v>
      </c>
      <c r="G157" s="370">
        <f t="shared" si="92"/>
        <v>1</v>
      </c>
      <c r="H157" s="370">
        <f t="shared" si="92"/>
        <v>1</v>
      </c>
      <c r="I157" s="370">
        <f t="shared" si="92"/>
        <v>1</v>
      </c>
      <c r="J157" s="370">
        <f t="shared" si="92"/>
        <v>1</v>
      </c>
      <c r="K157" s="98">
        <f t="shared" si="92"/>
        <v>1</v>
      </c>
      <c r="L157" s="370">
        <f t="shared" si="92"/>
        <v>1</v>
      </c>
      <c r="M157" s="370">
        <f t="shared" si="92"/>
        <v>1</v>
      </c>
      <c r="N157" s="370">
        <f t="shared" si="92"/>
        <v>1</v>
      </c>
      <c r="O157" s="370">
        <f t="shared" si="92"/>
        <v>1</v>
      </c>
      <c r="P157" s="98">
        <f t="shared" si="92"/>
        <v>1</v>
      </c>
      <c r="Q157" s="370">
        <f t="shared" si="92"/>
        <v>1</v>
      </c>
      <c r="R157" s="370">
        <f t="shared" si="92"/>
        <v>1</v>
      </c>
      <c r="S157" s="370">
        <f t="shared" si="92"/>
        <v>1</v>
      </c>
      <c r="T157" s="370">
        <f t="shared" si="92"/>
        <v>1</v>
      </c>
      <c r="U157" s="98">
        <f t="shared" si="92"/>
        <v>1</v>
      </c>
      <c r="V157" s="370">
        <f t="shared" si="92"/>
        <v>1</v>
      </c>
      <c r="W157" s="370">
        <f t="shared" si="92"/>
        <v>1</v>
      </c>
      <c r="X157" s="370">
        <f t="shared" si="92"/>
        <v>1</v>
      </c>
      <c r="Y157" s="370">
        <f t="shared" si="92"/>
        <v>1</v>
      </c>
      <c r="Z157" s="98">
        <f t="shared" si="92"/>
        <v>1</v>
      </c>
      <c r="AA157" s="370">
        <f t="shared" ref="AA157:BG157" si="93">SUM(AA153:AA156)</f>
        <v>1</v>
      </c>
      <c r="AB157" s="370">
        <f t="shared" si="93"/>
        <v>1</v>
      </c>
      <c r="AC157" s="370">
        <f t="shared" si="93"/>
        <v>0.99999999999999989</v>
      </c>
      <c r="AD157" s="370">
        <f t="shared" si="93"/>
        <v>1</v>
      </c>
      <c r="AE157" s="98">
        <f t="shared" si="93"/>
        <v>1</v>
      </c>
      <c r="AF157" s="370">
        <f t="shared" si="93"/>
        <v>1</v>
      </c>
      <c r="AG157" s="370">
        <f t="shared" si="93"/>
        <v>1</v>
      </c>
      <c r="AH157" s="370">
        <f t="shared" si="93"/>
        <v>1</v>
      </c>
      <c r="AI157" s="370">
        <f t="shared" si="93"/>
        <v>1</v>
      </c>
      <c r="AJ157" s="98">
        <f t="shared" si="93"/>
        <v>1</v>
      </c>
      <c r="AK157" s="370">
        <f t="shared" si="93"/>
        <v>0.99999999999999989</v>
      </c>
      <c r="AL157" s="370">
        <f t="shared" si="93"/>
        <v>1</v>
      </c>
      <c r="AM157" s="370">
        <f t="shared" si="93"/>
        <v>1</v>
      </c>
      <c r="AN157" s="370">
        <f t="shared" si="93"/>
        <v>1</v>
      </c>
      <c r="AO157" s="98">
        <f t="shared" si="93"/>
        <v>1</v>
      </c>
      <c r="AP157" s="370">
        <f t="shared" si="93"/>
        <v>1</v>
      </c>
      <c r="AQ157" s="370">
        <f t="shared" si="93"/>
        <v>1</v>
      </c>
      <c r="AR157" s="370">
        <f t="shared" si="93"/>
        <v>0.99999999999999989</v>
      </c>
      <c r="AS157" s="370">
        <f t="shared" si="93"/>
        <v>0.99999999999999989</v>
      </c>
      <c r="AT157" s="98">
        <f t="shared" si="93"/>
        <v>0.99999999999999989</v>
      </c>
      <c r="AU157" s="370">
        <f t="shared" si="93"/>
        <v>1</v>
      </c>
      <c r="AV157" s="370">
        <f t="shared" si="93"/>
        <v>0.99999999999999989</v>
      </c>
      <c r="AW157" s="680">
        <f t="shared" si="93"/>
        <v>1</v>
      </c>
      <c r="AX157" s="370">
        <f t="shared" si="93"/>
        <v>1</v>
      </c>
      <c r="AY157" s="98">
        <f t="shared" si="93"/>
        <v>1</v>
      </c>
      <c r="AZ157" s="370">
        <f t="shared" si="93"/>
        <v>1</v>
      </c>
      <c r="BA157" s="370">
        <f t="shared" si="93"/>
        <v>1</v>
      </c>
      <c r="BB157" s="370">
        <f t="shared" si="93"/>
        <v>1.0000000000000002</v>
      </c>
      <c r="BC157" s="370">
        <f t="shared" si="93"/>
        <v>1</v>
      </c>
      <c r="BD157" s="98">
        <f t="shared" si="93"/>
        <v>1</v>
      </c>
      <c r="BE157" s="98">
        <f t="shared" si="93"/>
        <v>0.99999999999999989</v>
      </c>
      <c r="BF157" s="98">
        <f t="shared" si="93"/>
        <v>1</v>
      </c>
      <c r="BG157" s="98">
        <f t="shared" si="93"/>
        <v>1</v>
      </c>
      <c r="BH157" s="70"/>
    </row>
    <row r="158" spans="1:60" s="57" customFormat="1" collapsed="1" x14ac:dyDescent="0.25">
      <c r="A158" s="486"/>
      <c r="B158" s="487"/>
      <c r="C158" s="400"/>
      <c r="D158" s="400"/>
      <c r="E158" s="400"/>
      <c r="F158" s="400"/>
      <c r="G158" s="399"/>
      <c r="H158" s="399"/>
      <c r="I158" s="399"/>
      <c r="J158" s="399"/>
      <c r="K158" s="400"/>
      <c r="L158" s="399"/>
      <c r="M158" s="399"/>
      <c r="N158" s="399"/>
      <c r="O158" s="399"/>
      <c r="P158" s="400"/>
      <c r="Q158" s="399"/>
      <c r="R158" s="399"/>
      <c r="S158" s="399"/>
      <c r="T158" s="399"/>
      <c r="U158" s="400"/>
      <c r="V158" s="399"/>
      <c r="W158" s="399"/>
      <c r="X158" s="399"/>
      <c r="Y158" s="399"/>
      <c r="Z158" s="400"/>
      <c r="AA158" s="399"/>
      <c r="AB158" s="399"/>
      <c r="AC158" s="399"/>
      <c r="AD158" s="399"/>
      <c r="AE158" s="400"/>
      <c r="AF158" s="399"/>
      <c r="AG158" s="399"/>
      <c r="AH158" s="399"/>
      <c r="AI158" s="399"/>
      <c r="AJ158" s="400"/>
      <c r="AK158" s="399"/>
      <c r="AL158" s="399"/>
      <c r="AM158" s="399"/>
      <c r="AN158" s="399"/>
      <c r="AO158" s="400"/>
      <c r="AP158" s="399"/>
      <c r="AQ158" s="399"/>
      <c r="AR158" s="399"/>
      <c r="AS158" s="399"/>
      <c r="AT158" s="400"/>
      <c r="AU158" s="399"/>
      <c r="AV158" s="399"/>
      <c r="AW158" s="574"/>
      <c r="AX158" s="399"/>
      <c r="AY158" s="400"/>
      <c r="AZ158" s="399"/>
      <c r="BA158" s="399"/>
      <c r="BB158" s="399"/>
      <c r="BC158" s="399"/>
      <c r="BD158" s="400"/>
      <c r="BE158" s="400"/>
      <c r="BF158" s="400"/>
      <c r="BG158" s="400"/>
      <c r="BH158" s="89"/>
    </row>
    <row r="159" spans="1:60" s="57" customFormat="1" hidden="1" outlineLevel="1" x14ac:dyDescent="0.25">
      <c r="A159" s="422" t="str">
        <f>A42</f>
        <v>United States paid streaming memberships net additions, 000s</v>
      </c>
      <c r="B159" s="484"/>
      <c r="C159" s="803"/>
      <c r="D159" s="803"/>
      <c r="E159" s="803"/>
      <c r="F159" s="803"/>
      <c r="G159" s="406">
        <f t="shared" ref="G159:AO159" si="94">G42</f>
        <v>2442</v>
      </c>
      <c r="H159" s="406">
        <f t="shared" si="94"/>
        <v>711</v>
      </c>
      <c r="I159" s="406">
        <f t="shared" si="94"/>
        <v>1301</v>
      </c>
      <c r="J159" s="406">
        <f t="shared" si="94"/>
        <v>1787</v>
      </c>
      <c r="K159" s="803">
        <f t="shared" si="94"/>
        <v>6241</v>
      </c>
      <c r="L159" s="406">
        <f t="shared" si="94"/>
        <v>2665</v>
      </c>
      <c r="M159" s="406">
        <f t="shared" si="94"/>
        <v>708</v>
      </c>
      <c r="N159" s="406">
        <f t="shared" si="94"/>
        <v>1180</v>
      </c>
      <c r="O159" s="406">
        <f t="shared" si="94"/>
        <v>1433</v>
      </c>
      <c r="P159" s="803">
        <f t="shared" si="94"/>
        <v>5986</v>
      </c>
      <c r="Q159" s="406">
        <f t="shared" si="94"/>
        <v>2617</v>
      </c>
      <c r="R159" s="406">
        <f t="shared" si="94"/>
        <v>742</v>
      </c>
      <c r="S159" s="406">
        <f t="shared" si="94"/>
        <v>1011</v>
      </c>
      <c r="T159" s="406">
        <f t="shared" si="94"/>
        <v>1333</v>
      </c>
      <c r="U159" s="803">
        <f t="shared" si="94"/>
        <v>5703</v>
      </c>
      <c r="V159" s="406">
        <f t="shared" si="94"/>
        <v>2313</v>
      </c>
      <c r="W159" s="406">
        <f t="shared" si="94"/>
        <v>290</v>
      </c>
      <c r="X159" s="406">
        <f t="shared" si="94"/>
        <v>475</v>
      </c>
      <c r="Y159" s="406">
        <f t="shared" si="94"/>
        <v>1426</v>
      </c>
      <c r="Z159" s="803">
        <f t="shared" si="94"/>
        <v>4504</v>
      </c>
      <c r="AA159" s="406">
        <f t="shared" si="94"/>
        <v>1470</v>
      </c>
      <c r="AB159" s="406">
        <f t="shared" si="94"/>
        <v>948</v>
      </c>
      <c r="AC159" s="406">
        <f t="shared" si="94"/>
        <v>1022</v>
      </c>
      <c r="AD159" s="406">
        <f t="shared" si="94"/>
        <v>1465</v>
      </c>
      <c r="AE159" s="803">
        <f t="shared" si="94"/>
        <v>4905</v>
      </c>
      <c r="AF159" s="406">
        <f t="shared" si="94"/>
        <v>2277</v>
      </c>
      <c r="AG159" s="406">
        <f t="shared" si="94"/>
        <v>872</v>
      </c>
      <c r="AH159" s="406">
        <f t="shared" si="94"/>
        <v>998</v>
      </c>
      <c r="AI159" s="406">
        <f t="shared" si="94"/>
        <v>1529</v>
      </c>
      <c r="AJ159" s="803">
        <f t="shared" si="94"/>
        <v>5676</v>
      </c>
      <c r="AK159" s="406">
        <f t="shared" si="94"/>
        <v>1743</v>
      </c>
      <c r="AL159" s="406">
        <f t="shared" si="94"/>
        <v>-126</v>
      </c>
      <c r="AM159" s="406">
        <f t="shared" si="94"/>
        <v>517</v>
      </c>
      <c r="AN159" s="406">
        <f t="shared" si="94"/>
        <v>423</v>
      </c>
      <c r="AO159" s="803">
        <f t="shared" si="94"/>
        <v>2557</v>
      </c>
      <c r="AP159" s="406"/>
      <c r="AQ159" s="406"/>
      <c r="AR159" s="406"/>
      <c r="AS159" s="406"/>
      <c r="AT159" s="803"/>
      <c r="AU159" s="406"/>
      <c r="AV159" s="406"/>
      <c r="AW159" s="572"/>
      <c r="AX159" s="406"/>
      <c r="AY159" s="803"/>
      <c r="AZ159" s="406"/>
      <c r="BA159" s="406"/>
      <c r="BB159" s="406"/>
      <c r="BC159" s="406"/>
      <c r="BD159" s="803"/>
      <c r="BE159" s="803"/>
      <c r="BF159" s="803"/>
      <c r="BG159" s="803"/>
      <c r="BH159" s="280"/>
    </row>
    <row r="160" spans="1:60" s="57" customFormat="1" hidden="1" outlineLevel="1" x14ac:dyDescent="0.25">
      <c r="A160" s="684" t="str">
        <f>A46</f>
        <v>Canada paid streaming memberships net additions, 000s</v>
      </c>
      <c r="B160" s="488"/>
      <c r="C160" s="548"/>
      <c r="D160" s="548"/>
      <c r="E160" s="548"/>
      <c r="F160" s="548"/>
      <c r="G160" s="489"/>
      <c r="H160" s="489"/>
      <c r="I160" s="489"/>
      <c r="J160" s="489"/>
      <c r="K160" s="548"/>
      <c r="L160" s="489"/>
      <c r="M160" s="489"/>
      <c r="N160" s="489"/>
      <c r="O160" s="489"/>
      <c r="P160" s="548"/>
      <c r="Q160" s="489"/>
      <c r="R160" s="489"/>
      <c r="S160" s="489"/>
      <c r="T160" s="489"/>
      <c r="U160" s="548"/>
      <c r="V160" s="489"/>
      <c r="W160" s="489"/>
      <c r="X160" s="489"/>
      <c r="Y160" s="489"/>
      <c r="Z160" s="548"/>
      <c r="AA160" s="489">
        <f t="shared" ref="AA160:AO160" si="95">AA46</f>
        <v>194</v>
      </c>
      <c r="AB160" s="489">
        <f t="shared" si="95"/>
        <v>94</v>
      </c>
      <c r="AC160" s="489">
        <f t="shared" si="95"/>
        <v>140</v>
      </c>
      <c r="AD160" s="489">
        <f t="shared" si="95"/>
        <v>178</v>
      </c>
      <c r="AE160" s="548">
        <f t="shared" si="95"/>
        <v>606</v>
      </c>
      <c r="AF160" s="489">
        <f t="shared" si="95"/>
        <v>210</v>
      </c>
      <c r="AG160" s="489">
        <f t="shared" si="95"/>
        <v>89</v>
      </c>
      <c r="AH160" s="489">
        <f t="shared" si="95"/>
        <v>142</v>
      </c>
      <c r="AI160" s="489">
        <f t="shared" si="95"/>
        <v>218</v>
      </c>
      <c r="AJ160" s="548">
        <f t="shared" si="95"/>
        <v>659</v>
      </c>
      <c r="AK160" s="489">
        <f t="shared" si="95"/>
        <v>133</v>
      </c>
      <c r="AL160" s="489">
        <f t="shared" si="95"/>
        <v>-6</v>
      </c>
      <c r="AM160" s="489">
        <f t="shared" si="95"/>
        <v>96</v>
      </c>
      <c r="AN160" s="489">
        <f t="shared" si="95"/>
        <v>125</v>
      </c>
      <c r="AO160" s="548">
        <f t="shared" si="95"/>
        <v>348</v>
      </c>
      <c r="AP160" s="489"/>
      <c r="AQ160" s="489"/>
      <c r="AR160" s="489"/>
      <c r="AS160" s="489"/>
      <c r="AT160" s="548"/>
      <c r="AU160" s="489"/>
      <c r="AV160" s="489"/>
      <c r="AW160" s="575"/>
      <c r="AX160" s="489"/>
      <c r="AY160" s="548"/>
      <c r="AZ160" s="489"/>
      <c r="BA160" s="489"/>
      <c r="BB160" s="489"/>
      <c r="BC160" s="489"/>
      <c r="BD160" s="548"/>
      <c r="BE160" s="548"/>
      <c r="BF160" s="548"/>
      <c r="BG160" s="548"/>
      <c r="BH160" s="280"/>
    </row>
    <row r="161" spans="1:60" s="57" customFormat="1" collapsed="1" x14ac:dyDescent="0.25">
      <c r="A161" s="682" t="str">
        <f>A49</f>
        <v>United States and Canada Paid Streaming Memberships Net Additions, 000s</v>
      </c>
      <c r="B161" s="484"/>
      <c r="C161" s="803"/>
      <c r="D161" s="803"/>
      <c r="E161" s="803"/>
      <c r="F161" s="803"/>
      <c r="G161" s="406"/>
      <c r="H161" s="406"/>
      <c r="I161" s="406"/>
      <c r="J161" s="406"/>
      <c r="K161" s="803"/>
      <c r="L161" s="406"/>
      <c r="M161" s="406"/>
      <c r="N161" s="406"/>
      <c r="O161" s="406"/>
      <c r="P161" s="803"/>
      <c r="Q161" s="406"/>
      <c r="R161" s="406"/>
      <c r="S161" s="406"/>
      <c r="T161" s="406"/>
      <c r="U161" s="803"/>
      <c r="V161" s="406"/>
      <c r="W161" s="406"/>
      <c r="X161" s="406"/>
      <c r="Y161" s="406"/>
      <c r="Z161" s="803"/>
      <c r="AA161" s="406">
        <f t="shared" ref="AA161:BG161" si="96">AA49</f>
        <v>1664</v>
      </c>
      <c r="AB161" s="406">
        <f t="shared" si="96"/>
        <v>1042</v>
      </c>
      <c r="AC161" s="406">
        <f t="shared" si="96"/>
        <v>1162</v>
      </c>
      <c r="AD161" s="406">
        <f t="shared" si="96"/>
        <v>1643</v>
      </c>
      <c r="AE161" s="803">
        <f t="shared" si="96"/>
        <v>5511</v>
      </c>
      <c r="AF161" s="406">
        <f t="shared" si="96"/>
        <v>2487</v>
      </c>
      <c r="AG161" s="406">
        <f t="shared" si="96"/>
        <v>961</v>
      </c>
      <c r="AH161" s="406">
        <f t="shared" si="96"/>
        <v>1140</v>
      </c>
      <c r="AI161" s="406">
        <f t="shared" si="96"/>
        <v>1747</v>
      </c>
      <c r="AJ161" s="803">
        <f t="shared" si="96"/>
        <v>6335</v>
      </c>
      <c r="AK161" s="406">
        <f t="shared" si="96"/>
        <v>1876</v>
      </c>
      <c r="AL161" s="406">
        <f t="shared" si="96"/>
        <v>-132</v>
      </c>
      <c r="AM161" s="406">
        <f t="shared" si="96"/>
        <v>613</v>
      </c>
      <c r="AN161" s="406">
        <f t="shared" si="96"/>
        <v>548</v>
      </c>
      <c r="AO161" s="803">
        <f t="shared" si="96"/>
        <v>2905</v>
      </c>
      <c r="AP161" s="406">
        <f t="shared" si="96"/>
        <v>2307</v>
      </c>
      <c r="AQ161" s="406">
        <f t="shared" si="96"/>
        <v>2935</v>
      </c>
      <c r="AR161" s="406">
        <f t="shared" si="96"/>
        <v>177</v>
      </c>
      <c r="AS161" s="406">
        <f t="shared" si="96"/>
        <v>855</v>
      </c>
      <c r="AT161" s="803">
        <f t="shared" si="96"/>
        <v>6274</v>
      </c>
      <c r="AU161" s="406">
        <f t="shared" si="96"/>
        <v>448</v>
      </c>
      <c r="AV161" s="406">
        <f t="shared" si="96"/>
        <v>-433</v>
      </c>
      <c r="AW161" s="572">
        <f t="shared" si="96"/>
        <v>73</v>
      </c>
      <c r="AX161" s="406">
        <f t="shared" si="96"/>
        <v>740.24</v>
      </c>
      <c r="AY161" s="803">
        <f t="shared" si="96"/>
        <v>828.24</v>
      </c>
      <c r="AZ161" s="406">
        <f t="shared" si="96"/>
        <v>747.64240000000007</v>
      </c>
      <c r="BA161" s="406">
        <f t="shared" si="96"/>
        <v>755.11882400000002</v>
      </c>
      <c r="BB161" s="406">
        <f t="shared" si="96"/>
        <v>762.67001224000012</v>
      </c>
      <c r="BC161" s="406">
        <f t="shared" si="96"/>
        <v>770.29671236240017</v>
      </c>
      <c r="BD161" s="803">
        <f t="shared" si="96"/>
        <v>3035.7279486024004</v>
      </c>
      <c r="BE161" s="803">
        <f t="shared" si="96"/>
        <v>2333.9990384580724</v>
      </c>
      <c r="BF161" s="803">
        <f t="shared" si="96"/>
        <v>2404.0190096118145</v>
      </c>
      <c r="BG161" s="803">
        <f t="shared" si="96"/>
        <v>2476.1395799001689</v>
      </c>
      <c r="BH161" s="280"/>
    </row>
    <row r="162" spans="1:60" s="57" customFormat="1" x14ac:dyDescent="0.25">
      <c r="A162" s="682" t="str">
        <f>A77</f>
        <v>EMEA Paid Streaming Memberships Net Additions, 000s</v>
      </c>
      <c r="B162" s="484"/>
      <c r="C162" s="803"/>
      <c r="D162" s="803"/>
      <c r="E162" s="803"/>
      <c r="F162" s="803"/>
      <c r="G162" s="406"/>
      <c r="H162" s="406"/>
      <c r="I162" s="406"/>
      <c r="J162" s="406"/>
      <c r="K162" s="803"/>
      <c r="L162" s="406"/>
      <c r="M162" s="406"/>
      <c r="N162" s="406"/>
      <c r="O162" s="406"/>
      <c r="P162" s="803"/>
      <c r="Q162" s="406"/>
      <c r="R162" s="406"/>
      <c r="S162" s="406"/>
      <c r="T162" s="406"/>
      <c r="U162" s="803"/>
      <c r="V162" s="406"/>
      <c r="W162" s="406"/>
      <c r="X162" s="406"/>
      <c r="Y162" s="406"/>
      <c r="Z162" s="803"/>
      <c r="AA162" s="406">
        <f t="shared" ref="AA162:BG162" si="97">AA77</f>
        <v>1868</v>
      </c>
      <c r="AB162" s="406">
        <f t="shared" si="97"/>
        <v>1453</v>
      </c>
      <c r="AC162" s="406">
        <f t="shared" si="97"/>
        <v>1983</v>
      </c>
      <c r="AD162" s="406">
        <f t="shared" si="97"/>
        <v>2869</v>
      </c>
      <c r="AE162" s="803">
        <f t="shared" si="97"/>
        <v>8173</v>
      </c>
      <c r="AF162" s="406">
        <f t="shared" si="97"/>
        <v>3335</v>
      </c>
      <c r="AG162" s="406">
        <f t="shared" si="97"/>
        <v>1978</v>
      </c>
      <c r="AH162" s="406">
        <f t="shared" si="97"/>
        <v>2519</v>
      </c>
      <c r="AI162" s="406">
        <f t="shared" si="97"/>
        <v>3982</v>
      </c>
      <c r="AJ162" s="803">
        <f t="shared" si="97"/>
        <v>11814</v>
      </c>
      <c r="AK162" s="406">
        <f t="shared" si="97"/>
        <v>4724</v>
      </c>
      <c r="AL162" s="406">
        <f t="shared" si="97"/>
        <v>1687</v>
      </c>
      <c r="AM162" s="406">
        <f t="shared" si="97"/>
        <v>3126</v>
      </c>
      <c r="AN162" s="406">
        <f t="shared" si="97"/>
        <v>4423</v>
      </c>
      <c r="AO162" s="803">
        <f t="shared" si="97"/>
        <v>13960</v>
      </c>
      <c r="AP162" s="406">
        <f t="shared" si="97"/>
        <v>6956</v>
      </c>
      <c r="AQ162" s="406">
        <f t="shared" si="97"/>
        <v>2749</v>
      </c>
      <c r="AR162" s="406">
        <f t="shared" si="97"/>
        <v>759</v>
      </c>
      <c r="AS162" s="406">
        <f t="shared" si="97"/>
        <v>4456</v>
      </c>
      <c r="AT162" s="803">
        <f t="shared" si="97"/>
        <v>14920</v>
      </c>
      <c r="AU162" s="406">
        <f t="shared" si="97"/>
        <v>1810</v>
      </c>
      <c r="AV162" s="406">
        <f t="shared" si="97"/>
        <v>188</v>
      </c>
      <c r="AW162" s="572">
        <f t="shared" si="97"/>
        <v>1804</v>
      </c>
      <c r="AX162" s="406">
        <f t="shared" si="97"/>
        <v>2820</v>
      </c>
      <c r="AY162" s="803">
        <f t="shared" si="97"/>
        <v>6622</v>
      </c>
      <c r="AZ162" s="406">
        <f t="shared" si="97"/>
        <v>1466.4</v>
      </c>
      <c r="BA162" s="406">
        <f t="shared" si="97"/>
        <v>1495.7279999999998</v>
      </c>
      <c r="BB162" s="406">
        <f t="shared" si="97"/>
        <v>1525.64256</v>
      </c>
      <c r="BC162" s="406">
        <f t="shared" si="97"/>
        <v>1556.1554111999999</v>
      </c>
      <c r="BD162" s="803">
        <f t="shared" si="97"/>
        <v>6043.9259712000003</v>
      </c>
      <c r="BE162" s="803">
        <f t="shared" si="97"/>
        <v>11904.588895680001</v>
      </c>
      <c r="BF162" s="803">
        <f t="shared" si="97"/>
        <v>13690.277230032001</v>
      </c>
      <c r="BG162" s="803">
        <f t="shared" si="97"/>
        <v>15743.818814536802</v>
      </c>
      <c r="BH162" s="280"/>
    </row>
    <row r="163" spans="1:60" s="57" customFormat="1" x14ac:dyDescent="0.25">
      <c r="A163" s="682" t="str">
        <f>A97</f>
        <v>Latin America Paid Streaming Memberships Net Additions, 000s</v>
      </c>
      <c r="B163" s="484"/>
      <c r="C163" s="803"/>
      <c r="D163" s="803"/>
      <c r="E163" s="803"/>
      <c r="F163" s="803"/>
      <c r="G163" s="406"/>
      <c r="H163" s="406"/>
      <c r="I163" s="406"/>
      <c r="J163" s="406"/>
      <c r="K163" s="803"/>
      <c r="L163" s="406"/>
      <c r="M163" s="406"/>
      <c r="N163" s="406"/>
      <c r="O163" s="406"/>
      <c r="P163" s="803"/>
      <c r="Q163" s="406"/>
      <c r="R163" s="406"/>
      <c r="S163" s="406"/>
      <c r="T163" s="406"/>
      <c r="U163" s="803"/>
      <c r="V163" s="406"/>
      <c r="W163" s="406"/>
      <c r="X163" s="406"/>
      <c r="Y163" s="406"/>
      <c r="Z163" s="803"/>
      <c r="AA163" s="406">
        <f t="shared" ref="AA163:BG163" si="98">AA97</f>
        <v>1216</v>
      </c>
      <c r="AB163" s="406">
        <f t="shared" si="98"/>
        <v>1588</v>
      </c>
      <c r="AC163" s="406">
        <f t="shared" si="98"/>
        <v>1254</v>
      </c>
      <c r="AD163" s="406">
        <f t="shared" si="98"/>
        <v>1450</v>
      </c>
      <c r="AE163" s="803">
        <f t="shared" si="98"/>
        <v>5508</v>
      </c>
      <c r="AF163" s="406">
        <f t="shared" si="98"/>
        <v>1543</v>
      </c>
      <c r="AG163" s="406">
        <f t="shared" si="98"/>
        <v>1535</v>
      </c>
      <c r="AH163" s="406">
        <f t="shared" si="98"/>
        <v>1320</v>
      </c>
      <c r="AI163" s="406">
        <f t="shared" si="98"/>
        <v>1962</v>
      </c>
      <c r="AJ163" s="803">
        <f t="shared" si="98"/>
        <v>6360</v>
      </c>
      <c r="AK163" s="406">
        <f t="shared" si="98"/>
        <v>1470</v>
      </c>
      <c r="AL163" s="406">
        <f t="shared" si="98"/>
        <v>343</v>
      </c>
      <c r="AM163" s="406">
        <f t="shared" si="98"/>
        <v>1490</v>
      </c>
      <c r="AN163" s="406">
        <f t="shared" si="98"/>
        <v>2037</v>
      </c>
      <c r="AO163" s="803">
        <f t="shared" si="98"/>
        <v>5340</v>
      </c>
      <c r="AP163" s="406">
        <f t="shared" si="98"/>
        <v>2901</v>
      </c>
      <c r="AQ163" s="406">
        <f t="shared" si="98"/>
        <v>1750</v>
      </c>
      <c r="AR163" s="406">
        <f t="shared" si="98"/>
        <v>256</v>
      </c>
      <c r="AS163" s="406">
        <f t="shared" si="98"/>
        <v>1213</v>
      </c>
      <c r="AT163" s="803">
        <f t="shared" si="98"/>
        <v>6120</v>
      </c>
      <c r="AU163" s="406">
        <f t="shared" si="98"/>
        <v>357</v>
      </c>
      <c r="AV163" s="406">
        <f t="shared" si="98"/>
        <v>764</v>
      </c>
      <c r="AW163" s="572">
        <f t="shared" si="98"/>
        <v>330</v>
      </c>
      <c r="AX163" s="406">
        <f t="shared" si="98"/>
        <v>1169.6399999999999</v>
      </c>
      <c r="AY163" s="803">
        <f t="shared" si="98"/>
        <v>2620.64</v>
      </c>
      <c r="AZ163" s="406">
        <f t="shared" si="98"/>
        <v>401.57639999999998</v>
      </c>
      <c r="BA163" s="406">
        <f t="shared" si="98"/>
        <v>405.59216399999997</v>
      </c>
      <c r="BB163" s="406">
        <f t="shared" si="98"/>
        <v>409.64808563999998</v>
      </c>
      <c r="BC163" s="406">
        <f t="shared" si="98"/>
        <v>413.74456649640001</v>
      </c>
      <c r="BD163" s="803">
        <f t="shared" si="98"/>
        <v>1630.5612161363999</v>
      </c>
      <c r="BE163" s="803">
        <f t="shared" si="98"/>
        <v>2507.2920729681837</v>
      </c>
      <c r="BF163" s="803">
        <f t="shared" si="98"/>
        <v>2657.7295973462747</v>
      </c>
      <c r="BG163" s="803">
        <f t="shared" si="98"/>
        <v>2817.1933731870513</v>
      </c>
      <c r="BH163" s="280"/>
    </row>
    <row r="164" spans="1:60" s="57" customFormat="1" x14ac:dyDescent="0.25">
      <c r="A164" s="683" t="str">
        <f>A117</f>
        <v>Asia Pacific Paid Streaming Memberships Net Additions, 000s</v>
      </c>
      <c r="B164" s="488"/>
      <c r="C164" s="548"/>
      <c r="D164" s="548"/>
      <c r="E164" s="548"/>
      <c r="F164" s="548"/>
      <c r="G164" s="489"/>
      <c r="H164" s="489"/>
      <c r="I164" s="489"/>
      <c r="J164" s="489"/>
      <c r="K164" s="548"/>
      <c r="L164" s="489"/>
      <c r="M164" s="489"/>
      <c r="N164" s="489"/>
      <c r="O164" s="489"/>
      <c r="P164" s="548"/>
      <c r="Q164" s="489"/>
      <c r="R164" s="489"/>
      <c r="S164" s="489"/>
      <c r="T164" s="489"/>
      <c r="U164" s="548"/>
      <c r="V164" s="489"/>
      <c r="W164" s="489"/>
      <c r="X164" s="489"/>
      <c r="Y164" s="489"/>
      <c r="Z164" s="548"/>
      <c r="AA164" s="489">
        <f t="shared" ref="AA164:BG164" si="99">AA117</f>
        <v>522</v>
      </c>
      <c r="AB164" s="489">
        <f t="shared" si="99"/>
        <v>590</v>
      </c>
      <c r="AC164" s="489">
        <f t="shared" si="99"/>
        <v>588</v>
      </c>
      <c r="AD164" s="489">
        <f t="shared" si="99"/>
        <v>659</v>
      </c>
      <c r="AE164" s="548">
        <f t="shared" si="99"/>
        <v>2359</v>
      </c>
      <c r="AF164" s="489">
        <f t="shared" si="99"/>
        <v>893</v>
      </c>
      <c r="AG164" s="489">
        <f t="shared" si="99"/>
        <v>978</v>
      </c>
      <c r="AH164" s="489">
        <f t="shared" si="99"/>
        <v>1089</v>
      </c>
      <c r="AI164" s="489">
        <f t="shared" si="99"/>
        <v>1146</v>
      </c>
      <c r="AJ164" s="548">
        <f t="shared" si="99"/>
        <v>4106</v>
      </c>
      <c r="AK164" s="489">
        <f t="shared" si="99"/>
        <v>1534</v>
      </c>
      <c r="AL164" s="489">
        <f t="shared" si="99"/>
        <v>801</v>
      </c>
      <c r="AM164" s="489">
        <f t="shared" si="99"/>
        <v>1543</v>
      </c>
      <c r="AN164" s="489">
        <f t="shared" si="99"/>
        <v>1748</v>
      </c>
      <c r="AO164" s="548">
        <f t="shared" si="99"/>
        <v>5626</v>
      </c>
      <c r="AP164" s="489">
        <f t="shared" si="99"/>
        <v>3602</v>
      </c>
      <c r="AQ164" s="489">
        <f t="shared" si="99"/>
        <v>2657</v>
      </c>
      <c r="AR164" s="489">
        <f t="shared" si="99"/>
        <v>1012</v>
      </c>
      <c r="AS164" s="489">
        <f t="shared" si="99"/>
        <v>1988</v>
      </c>
      <c r="AT164" s="548">
        <f t="shared" si="99"/>
        <v>9259</v>
      </c>
      <c r="AU164" s="489">
        <f t="shared" si="99"/>
        <v>1361</v>
      </c>
      <c r="AV164" s="489">
        <f t="shared" si="99"/>
        <v>1022</v>
      </c>
      <c r="AW164" s="575">
        <f t="shared" si="99"/>
        <v>2176</v>
      </c>
      <c r="AX164" s="489">
        <f t="shared" si="99"/>
        <v>3305.61</v>
      </c>
      <c r="AY164" s="548">
        <f t="shared" si="99"/>
        <v>7864.6100000000006</v>
      </c>
      <c r="AZ164" s="489">
        <f t="shared" si="99"/>
        <v>2001.3966</v>
      </c>
      <c r="BA164" s="489">
        <f t="shared" si="99"/>
        <v>2121.4803959999999</v>
      </c>
      <c r="BB164" s="489">
        <f t="shared" si="99"/>
        <v>2248.7692197599999</v>
      </c>
      <c r="BC164" s="489">
        <f t="shared" si="99"/>
        <v>2780.9779351032003</v>
      </c>
      <c r="BD164" s="548">
        <f t="shared" si="99"/>
        <v>9152.6241508632011</v>
      </c>
      <c r="BE164" s="548">
        <f t="shared" si="99"/>
        <v>10627.3085377158</v>
      </c>
      <c r="BF164" s="548">
        <f t="shared" si="99"/>
        <v>11690.03939148738</v>
      </c>
      <c r="BG164" s="548">
        <f t="shared" si="99"/>
        <v>14261.848057614603</v>
      </c>
      <c r="BH164" s="280"/>
    </row>
    <row r="165" spans="1:60" customFormat="1" x14ac:dyDescent="0.25">
      <c r="A165" s="379" t="s">
        <v>650</v>
      </c>
      <c r="B165" s="487"/>
      <c r="C165" s="400"/>
      <c r="D165" s="400"/>
      <c r="E165" s="400"/>
      <c r="F165" s="400"/>
      <c r="G165" s="399"/>
      <c r="H165" s="399"/>
      <c r="I165" s="399"/>
      <c r="J165" s="399"/>
      <c r="K165" s="400"/>
      <c r="L165" s="399"/>
      <c r="M165" s="399"/>
      <c r="N165" s="399"/>
      <c r="O165" s="399"/>
      <c r="P165" s="400"/>
      <c r="Q165" s="399"/>
      <c r="R165" s="399"/>
      <c r="S165" s="399"/>
      <c r="T165" s="399"/>
      <c r="U165" s="400"/>
      <c r="V165" s="399"/>
      <c r="W165" s="399"/>
      <c r="X165" s="399"/>
      <c r="Y165" s="399"/>
      <c r="Z165" s="400"/>
      <c r="AA165" s="399">
        <f t="shared" ref="AA165:BG165" si="100">SUM(AA161:AA164)</f>
        <v>5270</v>
      </c>
      <c r="AB165" s="399">
        <f t="shared" si="100"/>
        <v>4673</v>
      </c>
      <c r="AC165" s="399">
        <f t="shared" si="100"/>
        <v>4987</v>
      </c>
      <c r="AD165" s="399">
        <f t="shared" si="100"/>
        <v>6621</v>
      </c>
      <c r="AE165" s="400">
        <f t="shared" si="100"/>
        <v>21551</v>
      </c>
      <c r="AF165" s="89">
        <f t="shared" si="100"/>
        <v>8258</v>
      </c>
      <c r="AG165" s="89">
        <f t="shared" si="100"/>
        <v>5452</v>
      </c>
      <c r="AH165" s="89">
        <f t="shared" si="100"/>
        <v>6068</v>
      </c>
      <c r="AI165" s="89">
        <f t="shared" si="100"/>
        <v>8837</v>
      </c>
      <c r="AJ165" s="377">
        <f t="shared" si="100"/>
        <v>28615</v>
      </c>
      <c r="AK165" s="89">
        <f t="shared" si="100"/>
        <v>9604</v>
      </c>
      <c r="AL165" s="89">
        <f t="shared" si="100"/>
        <v>2699</v>
      </c>
      <c r="AM165" s="89">
        <f t="shared" si="100"/>
        <v>6772</v>
      </c>
      <c r="AN165" s="89">
        <f t="shared" si="100"/>
        <v>8756</v>
      </c>
      <c r="AO165" s="377">
        <f t="shared" si="100"/>
        <v>27831</v>
      </c>
      <c r="AP165" s="89">
        <f t="shared" si="100"/>
        <v>15766</v>
      </c>
      <c r="AQ165" s="89">
        <f t="shared" si="100"/>
        <v>10091</v>
      </c>
      <c r="AR165" s="89">
        <f t="shared" si="100"/>
        <v>2204</v>
      </c>
      <c r="AS165" s="89">
        <f t="shared" si="100"/>
        <v>8512</v>
      </c>
      <c r="AT165" s="377">
        <f t="shared" si="100"/>
        <v>36573</v>
      </c>
      <c r="AU165" s="89">
        <f t="shared" si="100"/>
        <v>3976</v>
      </c>
      <c r="AV165" s="89">
        <f t="shared" si="100"/>
        <v>1541</v>
      </c>
      <c r="AW165" s="647">
        <f t="shared" si="100"/>
        <v>4383</v>
      </c>
      <c r="AX165" s="89">
        <f t="shared" si="100"/>
        <v>8035.49</v>
      </c>
      <c r="AY165" s="377">
        <f t="shared" si="100"/>
        <v>17935.489999999998</v>
      </c>
      <c r="AZ165" s="89">
        <f t="shared" si="100"/>
        <v>4617.0154000000002</v>
      </c>
      <c r="BA165" s="89">
        <f t="shared" si="100"/>
        <v>4777.9193839999998</v>
      </c>
      <c r="BB165" s="89">
        <f t="shared" si="100"/>
        <v>4946.7298776400003</v>
      </c>
      <c r="BC165" s="89">
        <f t="shared" si="100"/>
        <v>5521.1746251620007</v>
      </c>
      <c r="BD165" s="377">
        <f t="shared" si="100"/>
        <v>19862.839286802002</v>
      </c>
      <c r="BE165" s="377">
        <f t="shared" si="100"/>
        <v>27373.188544822056</v>
      </c>
      <c r="BF165" s="377">
        <f t="shared" si="100"/>
        <v>30442.06522847747</v>
      </c>
      <c r="BG165" s="377">
        <f t="shared" si="100"/>
        <v>35298.999825238629</v>
      </c>
      <c r="BH165" s="89"/>
    </row>
    <row r="166" spans="1:60" s="57" customFormat="1" hidden="1" outlineLevel="1" x14ac:dyDescent="0.25">
      <c r="A166" s="486"/>
      <c r="B166" s="487"/>
      <c r="C166" s="400"/>
      <c r="D166" s="400"/>
      <c r="E166" s="400"/>
      <c r="F166" s="400"/>
      <c r="G166" s="399"/>
      <c r="H166" s="399"/>
      <c r="I166" s="399"/>
      <c r="J166" s="399"/>
      <c r="K166" s="400"/>
      <c r="L166" s="399"/>
      <c r="M166" s="399"/>
      <c r="N166" s="399"/>
      <c r="O166" s="399"/>
      <c r="P166" s="400"/>
      <c r="Q166" s="399"/>
      <c r="R166" s="399"/>
      <c r="S166" s="399"/>
      <c r="T166" s="399"/>
      <c r="U166" s="400"/>
      <c r="V166" s="399"/>
      <c r="W166" s="399"/>
      <c r="X166" s="399"/>
      <c r="Y166" s="399"/>
      <c r="Z166" s="400"/>
      <c r="AA166" s="399"/>
      <c r="AB166" s="399"/>
      <c r="AC166" s="399"/>
      <c r="AD166" s="399"/>
      <c r="AE166" s="400"/>
      <c r="AF166" s="399"/>
      <c r="AG166" s="399"/>
      <c r="AH166" s="399"/>
      <c r="AI166" s="399"/>
      <c r="AJ166" s="400"/>
      <c r="AK166" s="399"/>
      <c r="AL166" s="399"/>
      <c r="AM166" s="399"/>
      <c r="AN166" s="399"/>
      <c r="AO166" s="400"/>
      <c r="AP166" s="399"/>
      <c r="AQ166" s="399"/>
      <c r="AR166" s="399"/>
      <c r="AS166" s="399"/>
      <c r="AT166" s="400"/>
      <c r="AU166" s="399"/>
      <c r="AV166" s="399"/>
      <c r="AW166" s="574"/>
      <c r="AX166" s="399"/>
      <c r="AY166" s="400"/>
      <c r="AZ166" s="399"/>
      <c r="BA166" s="399"/>
      <c r="BB166" s="399"/>
      <c r="BC166" s="399"/>
      <c r="BD166" s="400"/>
      <c r="BE166" s="400"/>
      <c r="BF166" s="400"/>
      <c r="BG166" s="400"/>
      <c r="BH166" s="89"/>
    </row>
    <row r="167" spans="1:60" s="416" customFormat="1" hidden="1" outlineLevel="2" x14ac:dyDescent="0.25">
      <c r="A167" s="798" t="s">
        <v>750</v>
      </c>
      <c r="B167" s="258"/>
      <c r="C167" s="91"/>
      <c r="D167" s="91"/>
      <c r="E167" s="91"/>
      <c r="F167" s="91"/>
      <c r="G167" s="185"/>
      <c r="H167" s="185"/>
      <c r="I167" s="185"/>
      <c r="J167" s="185"/>
      <c r="K167" s="91"/>
      <c r="L167" s="185"/>
      <c r="M167" s="185"/>
      <c r="N167" s="185"/>
      <c r="O167" s="185"/>
      <c r="P167" s="91"/>
      <c r="Q167" s="185"/>
      <c r="R167" s="185"/>
      <c r="S167" s="185"/>
      <c r="T167" s="185"/>
      <c r="U167" s="91"/>
      <c r="V167" s="185"/>
      <c r="W167" s="185"/>
      <c r="X167" s="185"/>
      <c r="Y167" s="185"/>
      <c r="Z167" s="91"/>
      <c r="AA167" s="185">
        <f t="shared" ref="AA167:AO167" si="101">AA159/AA$165</f>
        <v>0.27893738140417457</v>
      </c>
      <c r="AB167" s="185">
        <f t="shared" si="101"/>
        <v>0.20286753691418788</v>
      </c>
      <c r="AC167" s="185">
        <f t="shared" si="101"/>
        <v>0.20493282534589935</v>
      </c>
      <c r="AD167" s="185">
        <f t="shared" si="101"/>
        <v>0.22126566983839299</v>
      </c>
      <c r="AE167" s="91">
        <f t="shared" si="101"/>
        <v>0.22759964734815089</v>
      </c>
      <c r="AF167" s="185">
        <f t="shared" si="101"/>
        <v>0.2757326229111165</v>
      </c>
      <c r="AG167" s="185">
        <f t="shared" si="101"/>
        <v>0.15994130594277328</v>
      </c>
      <c r="AH167" s="185">
        <f t="shared" si="101"/>
        <v>0.16446934739617666</v>
      </c>
      <c r="AI167" s="185">
        <f t="shared" si="101"/>
        <v>0.1730225189543963</v>
      </c>
      <c r="AJ167" s="91">
        <f t="shared" si="101"/>
        <v>0.19835750480517211</v>
      </c>
      <c r="AK167" s="185">
        <f t="shared" si="101"/>
        <v>0.18148688046647229</v>
      </c>
      <c r="AL167" s="185">
        <f t="shared" si="101"/>
        <v>-4.6683957021118931E-2</v>
      </c>
      <c r="AM167" s="185">
        <f t="shared" si="101"/>
        <v>7.6343768458357941E-2</v>
      </c>
      <c r="AN167" s="185">
        <f t="shared" si="101"/>
        <v>4.8309730470534488E-2</v>
      </c>
      <c r="AO167" s="91">
        <f t="shared" si="101"/>
        <v>9.1875965649814956E-2</v>
      </c>
      <c r="AP167" s="185"/>
      <c r="AQ167" s="185"/>
      <c r="AR167" s="185"/>
      <c r="AS167" s="185"/>
      <c r="AT167" s="91"/>
      <c r="AU167" s="185"/>
      <c r="AV167" s="185"/>
      <c r="AW167" s="566"/>
      <c r="AX167" s="185"/>
      <c r="AY167" s="91"/>
      <c r="AZ167" s="185"/>
      <c r="BA167" s="185"/>
      <c r="BB167" s="185"/>
      <c r="BC167" s="185"/>
      <c r="BD167" s="91"/>
      <c r="BE167" s="91"/>
      <c r="BF167" s="91"/>
      <c r="BG167" s="91"/>
      <c r="BH167" s="67"/>
    </row>
    <row r="168" spans="1:60" s="416" customFormat="1" hidden="1" outlineLevel="2" x14ac:dyDescent="0.25">
      <c r="A168" s="799" t="s">
        <v>751</v>
      </c>
      <c r="B168" s="358"/>
      <c r="C168" s="97"/>
      <c r="D168" s="97"/>
      <c r="E168" s="97"/>
      <c r="F168" s="97"/>
      <c r="G168" s="331"/>
      <c r="H168" s="331"/>
      <c r="I168" s="331"/>
      <c r="J168" s="331"/>
      <c r="K168" s="97"/>
      <c r="L168" s="331"/>
      <c r="M168" s="331"/>
      <c r="N168" s="331"/>
      <c r="O168" s="331"/>
      <c r="P168" s="97"/>
      <c r="Q168" s="331"/>
      <c r="R168" s="331"/>
      <c r="S168" s="331"/>
      <c r="T168" s="331"/>
      <c r="U168" s="97"/>
      <c r="V168" s="331"/>
      <c r="W168" s="331"/>
      <c r="X168" s="331"/>
      <c r="Y168" s="331"/>
      <c r="Z168" s="97"/>
      <c r="AA168" s="331">
        <f t="shared" ref="AA168:AO168" si="102">AA160/AA$165</f>
        <v>3.6812144212523719E-2</v>
      </c>
      <c r="AB168" s="331">
        <f t="shared" si="102"/>
        <v>2.0115557457735928E-2</v>
      </c>
      <c r="AC168" s="331">
        <f t="shared" si="102"/>
        <v>2.807298977341087E-2</v>
      </c>
      <c r="AD168" s="331">
        <f t="shared" si="102"/>
        <v>2.6884156471832048E-2</v>
      </c>
      <c r="AE168" s="97">
        <f t="shared" si="102"/>
        <v>2.8119344809985614E-2</v>
      </c>
      <c r="AF168" s="331">
        <f t="shared" si="102"/>
        <v>2.542988617098571E-2</v>
      </c>
      <c r="AG168" s="331">
        <f t="shared" si="102"/>
        <v>1.6324284666177549E-2</v>
      </c>
      <c r="AH168" s="331">
        <f t="shared" si="102"/>
        <v>2.3401450230718525E-2</v>
      </c>
      <c r="AI168" s="331">
        <f t="shared" si="102"/>
        <v>2.4669005318547019E-2</v>
      </c>
      <c r="AJ168" s="97">
        <f t="shared" si="102"/>
        <v>2.3029879433863358E-2</v>
      </c>
      <c r="AK168" s="331">
        <f t="shared" si="102"/>
        <v>1.3848396501457727E-2</v>
      </c>
      <c r="AL168" s="331">
        <f t="shared" si="102"/>
        <v>-2.2230455724342349E-3</v>
      </c>
      <c r="AM168" s="331">
        <f t="shared" si="102"/>
        <v>1.4176018901358535E-2</v>
      </c>
      <c r="AN168" s="331">
        <f t="shared" si="102"/>
        <v>1.4275925079945181E-2</v>
      </c>
      <c r="AO168" s="97">
        <f t="shared" si="102"/>
        <v>1.2504042255039345E-2</v>
      </c>
      <c r="AP168" s="331"/>
      <c r="AQ168" s="331"/>
      <c r="AR168" s="331"/>
      <c r="AS168" s="331"/>
      <c r="AT168" s="97"/>
      <c r="AU168" s="331"/>
      <c r="AV168" s="331"/>
      <c r="AW168" s="567"/>
      <c r="AX168" s="331"/>
      <c r="AY168" s="97"/>
      <c r="AZ168" s="331"/>
      <c r="BA168" s="331"/>
      <c r="BB168" s="331"/>
      <c r="BC168" s="331"/>
      <c r="BD168" s="97"/>
      <c r="BE168" s="97"/>
      <c r="BF168" s="97"/>
      <c r="BG168" s="97"/>
      <c r="BH168" s="67"/>
    </row>
    <row r="169" spans="1:60" s="416" customFormat="1" hidden="1" outlineLevel="1" collapsed="1" x14ac:dyDescent="0.25">
      <c r="A169" s="509" t="s">
        <v>753</v>
      </c>
      <c r="B169" s="258"/>
      <c r="C169" s="91"/>
      <c r="D169" s="91"/>
      <c r="E169" s="91"/>
      <c r="F169" s="91"/>
      <c r="G169" s="185"/>
      <c r="H169" s="185"/>
      <c r="I169" s="185"/>
      <c r="J169" s="185"/>
      <c r="K169" s="91"/>
      <c r="L169" s="185"/>
      <c r="M169" s="185"/>
      <c r="N169" s="185"/>
      <c r="O169" s="185"/>
      <c r="P169" s="91"/>
      <c r="Q169" s="185"/>
      <c r="R169" s="185"/>
      <c r="S169" s="185"/>
      <c r="T169" s="185"/>
      <c r="U169" s="91"/>
      <c r="V169" s="185"/>
      <c r="W169" s="185"/>
      <c r="X169" s="185"/>
      <c r="Y169" s="185"/>
      <c r="Z169" s="91"/>
      <c r="AA169" s="185">
        <f t="shared" ref="AA169:AO169" si="103">AA161/AA$165</f>
        <v>0.31574952561669828</v>
      </c>
      <c r="AB169" s="185">
        <f t="shared" si="103"/>
        <v>0.22298309437192382</v>
      </c>
      <c r="AC169" s="185">
        <f t="shared" si="103"/>
        <v>0.23300581511931021</v>
      </c>
      <c r="AD169" s="185">
        <f t="shared" si="103"/>
        <v>0.24814982631022503</v>
      </c>
      <c r="AE169" s="91">
        <f t="shared" si="103"/>
        <v>0.25571899215813654</v>
      </c>
      <c r="AF169" s="185">
        <f t="shared" si="103"/>
        <v>0.30116250908210218</v>
      </c>
      <c r="AG169" s="185">
        <f t="shared" si="103"/>
        <v>0.17626559060895083</v>
      </c>
      <c r="AH169" s="185">
        <f t="shared" si="103"/>
        <v>0.18787079762689518</v>
      </c>
      <c r="AI169" s="185">
        <f t="shared" si="103"/>
        <v>0.19769152427294331</v>
      </c>
      <c r="AJ169" s="91">
        <f t="shared" si="103"/>
        <v>0.22138738423903548</v>
      </c>
      <c r="AK169" s="185">
        <f t="shared" si="103"/>
        <v>0.19533527696793002</v>
      </c>
      <c r="AL169" s="185">
        <f t="shared" si="103"/>
        <v>-4.890700259355317E-2</v>
      </c>
      <c r="AM169" s="185">
        <f t="shared" si="103"/>
        <v>9.0519787359716483E-2</v>
      </c>
      <c r="AN169" s="185">
        <f t="shared" si="103"/>
        <v>6.2585655550479666E-2</v>
      </c>
      <c r="AO169" s="91">
        <f t="shared" si="103"/>
        <v>0.1043800079048543</v>
      </c>
      <c r="AP169" s="185">
        <f t="shared" ref="AP169:BG169" si="104">AP161/AP$165</f>
        <v>0.14632754027654446</v>
      </c>
      <c r="AQ169" s="185">
        <f t="shared" si="104"/>
        <v>0.29085323555643644</v>
      </c>
      <c r="AR169" s="185">
        <f t="shared" si="104"/>
        <v>8.0308529945553542E-2</v>
      </c>
      <c r="AS169" s="185">
        <f t="shared" si="104"/>
        <v>0.10044642857142858</v>
      </c>
      <c r="AT169" s="91">
        <f t="shared" si="104"/>
        <v>0.17154731632625161</v>
      </c>
      <c r="AU169" s="185">
        <f t="shared" si="104"/>
        <v>0.11267605633802817</v>
      </c>
      <c r="AV169" s="185">
        <f t="shared" si="104"/>
        <v>-0.28098637248539909</v>
      </c>
      <c r="AW169" s="566">
        <f t="shared" si="104"/>
        <v>1.6655258955053615E-2</v>
      </c>
      <c r="AX169" s="185">
        <f t="shared" si="104"/>
        <v>9.2121326764142572E-2</v>
      </c>
      <c r="AY169" s="91">
        <f t="shared" si="104"/>
        <v>4.6178833140326808E-2</v>
      </c>
      <c r="AZ169" s="185">
        <f t="shared" si="104"/>
        <v>0.16193197016410213</v>
      </c>
      <c r="BA169" s="185">
        <f t="shared" si="104"/>
        <v>0.15804344178110144</v>
      </c>
      <c r="BB169" s="185">
        <f t="shared" si="104"/>
        <v>0.15417660375744163</v>
      </c>
      <c r="BC169" s="185">
        <f t="shared" si="104"/>
        <v>0.13951681746342126</v>
      </c>
      <c r="BD169" s="91">
        <f t="shared" si="104"/>
        <v>0.15283454217038903</v>
      </c>
      <c r="BE169" s="91">
        <f t="shared" si="104"/>
        <v>8.5265881051317063E-2</v>
      </c>
      <c r="BF169" s="91">
        <f t="shared" si="104"/>
        <v>7.8970299536804761E-2</v>
      </c>
      <c r="BG169" s="91">
        <f t="shared" si="104"/>
        <v>7.0147584695296097E-2</v>
      </c>
      <c r="BH169" s="67"/>
    </row>
    <row r="170" spans="1:60" s="416" customFormat="1" hidden="1" outlineLevel="1" x14ac:dyDescent="0.25">
      <c r="A170" s="509" t="s">
        <v>758</v>
      </c>
      <c r="B170" s="258"/>
      <c r="C170" s="91"/>
      <c r="D170" s="91"/>
      <c r="E170" s="91"/>
      <c r="F170" s="91"/>
      <c r="G170" s="185"/>
      <c r="H170" s="185"/>
      <c r="I170" s="185"/>
      <c r="J170" s="185"/>
      <c r="K170" s="91"/>
      <c r="L170" s="185"/>
      <c r="M170" s="185"/>
      <c r="N170" s="185"/>
      <c r="O170" s="185"/>
      <c r="P170" s="91"/>
      <c r="Q170" s="185"/>
      <c r="R170" s="185"/>
      <c r="S170" s="185"/>
      <c r="T170" s="185"/>
      <c r="U170" s="91"/>
      <c r="V170" s="185"/>
      <c r="W170" s="185"/>
      <c r="X170" s="185"/>
      <c r="Y170" s="185"/>
      <c r="Z170" s="91"/>
      <c r="AA170" s="185">
        <f t="shared" ref="AA170:AO170" si="105">AA162/AA$165</f>
        <v>0.35445920303605311</v>
      </c>
      <c r="AB170" s="185">
        <f t="shared" si="105"/>
        <v>0.31093515942649264</v>
      </c>
      <c r="AC170" s="185">
        <f t="shared" si="105"/>
        <v>0.3976338480048125</v>
      </c>
      <c r="AD170" s="185">
        <f t="shared" si="105"/>
        <v>0.4333182298746413</v>
      </c>
      <c r="AE170" s="91">
        <f t="shared" si="105"/>
        <v>0.37923994246206671</v>
      </c>
      <c r="AF170" s="185">
        <f t="shared" si="105"/>
        <v>0.40385081133446354</v>
      </c>
      <c r="AG170" s="185">
        <f t="shared" si="105"/>
        <v>0.36280264123257522</v>
      </c>
      <c r="AH170" s="185">
        <f t="shared" si="105"/>
        <v>0.41512854317732367</v>
      </c>
      <c r="AI170" s="185">
        <f t="shared" si="105"/>
        <v>0.45060540907547808</v>
      </c>
      <c r="AJ170" s="91">
        <f t="shared" si="105"/>
        <v>0.41286038790843965</v>
      </c>
      <c r="AK170" s="185">
        <f t="shared" si="105"/>
        <v>0.49187838400666389</v>
      </c>
      <c r="AL170" s="185">
        <f t="shared" si="105"/>
        <v>0.62504631344942574</v>
      </c>
      <c r="AM170" s="185">
        <f t="shared" si="105"/>
        <v>0.46160661547548731</v>
      </c>
      <c r="AN170" s="185">
        <f t="shared" si="105"/>
        <v>0.50513933302878022</v>
      </c>
      <c r="AO170" s="91">
        <f t="shared" si="105"/>
        <v>0.50159893643778519</v>
      </c>
      <c r="AP170" s="185">
        <f t="shared" ref="AP170:BG170" si="106">AP162/AP$165</f>
        <v>0.44120258784726629</v>
      </c>
      <c r="AQ170" s="185">
        <f t="shared" si="106"/>
        <v>0.27242096918045783</v>
      </c>
      <c r="AR170" s="185">
        <f t="shared" si="106"/>
        <v>0.34437386569872958</v>
      </c>
      <c r="AS170" s="185">
        <f t="shared" si="106"/>
        <v>0.52349624060150379</v>
      </c>
      <c r="AT170" s="91">
        <f t="shared" si="106"/>
        <v>0.40795122084597929</v>
      </c>
      <c r="AU170" s="185">
        <f t="shared" si="106"/>
        <v>0.45523138832997989</v>
      </c>
      <c r="AV170" s="185">
        <f t="shared" si="106"/>
        <v>0.12199870214146658</v>
      </c>
      <c r="AW170" s="566">
        <f t="shared" si="106"/>
        <v>0.41159023499885922</v>
      </c>
      <c r="AX170" s="185">
        <f t="shared" si="106"/>
        <v>0.35094312854598786</v>
      </c>
      <c r="AY170" s="91">
        <f t="shared" si="106"/>
        <v>0.36921210404622345</v>
      </c>
      <c r="AZ170" s="185">
        <f t="shared" si="106"/>
        <v>0.31760777752658137</v>
      </c>
      <c r="BA170" s="185">
        <f t="shared" si="106"/>
        <v>0.3130500704990547</v>
      </c>
      <c r="BB170" s="185">
        <f t="shared" si="106"/>
        <v>0.30841436620506513</v>
      </c>
      <c r="BC170" s="185">
        <f t="shared" si="106"/>
        <v>0.28185223559277289</v>
      </c>
      <c r="BD170" s="91">
        <f t="shared" si="106"/>
        <v>0.30428308279249522</v>
      </c>
      <c r="BE170" s="91">
        <f t="shared" si="106"/>
        <v>0.43489960536336153</v>
      </c>
      <c r="BF170" s="91">
        <f t="shared" si="106"/>
        <v>0.44971578397464418</v>
      </c>
      <c r="BG170" s="91">
        <f t="shared" si="106"/>
        <v>0.44601317013180758</v>
      </c>
      <c r="BH170" s="67"/>
    </row>
    <row r="171" spans="1:60" s="416" customFormat="1" hidden="1" outlineLevel="1" x14ac:dyDescent="0.25">
      <c r="A171" s="509" t="s">
        <v>759</v>
      </c>
      <c r="B171" s="258"/>
      <c r="C171" s="91"/>
      <c r="D171" s="91"/>
      <c r="E171" s="91"/>
      <c r="F171" s="91"/>
      <c r="G171" s="185"/>
      <c r="H171" s="185"/>
      <c r="I171" s="185"/>
      <c r="J171" s="185"/>
      <c r="K171" s="91"/>
      <c r="L171" s="185"/>
      <c r="M171" s="185"/>
      <c r="N171" s="185"/>
      <c r="O171" s="185"/>
      <c r="P171" s="91"/>
      <c r="Q171" s="185"/>
      <c r="R171" s="185"/>
      <c r="S171" s="185"/>
      <c r="T171" s="185"/>
      <c r="U171" s="91"/>
      <c r="V171" s="185"/>
      <c r="W171" s="185"/>
      <c r="X171" s="185"/>
      <c r="Y171" s="185"/>
      <c r="Z171" s="91"/>
      <c r="AA171" s="185">
        <f t="shared" ref="AA171:AO171" si="107">AA163/AA$165</f>
        <v>0.23074003795066414</v>
      </c>
      <c r="AB171" s="185">
        <f t="shared" si="107"/>
        <v>0.33982452386047507</v>
      </c>
      <c r="AC171" s="185">
        <f t="shared" si="107"/>
        <v>0.25145377982755163</v>
      </c>
      <c r="AD171" s="185">
        <f t="shared" si="107"/>
        <v>0.21900015103458692</v>
      </c>
      <c r="AE171" s="91">
        <f t="shared" si="107"/>
        <v>0.25557978748085936</v>
      </c>
      <c r="AF171" s="185">
        <f t="shared" si="107"/>
        <v>0.18684911600871881</v>
      </c>
      <c r="AG171" s="185">
        <f t="shared" si="107"/>
        <v>0.28154805575935438</v>
      </c>
      <c r="AH171" s="185">
        <f t="shared" si="107"/>
        <v>0.21753460777851022</v>
      </c>
      <c r="AI171" s="185">
        <f t="shared" si="107"/>
        <v>0.22202104786692317</v>
      </c>
      <c r="AJ171" s="91">
        <f t="shared" si="107"/>
        <v>0.22226105189585882</v>
      </c>
      <c r="AK171" s="185">
        <f t="shared" si="107"/>
        <v>0.15306122448979592</v>
      </c>
      <c r="AL171" s="185">
        <f t="shared" si="107"/>
        <v>0.12708410522415708</v>
      </c>
      <c r="AM171" s="185">
        <f t="shared" si="107"/>
        <v>0.22002362669816894</v>
      </c>
      <c r="AN171" s="185">
        <f t="shared" si="107"/>
        <v>0.23264047510278665</v>
      </c>
      <c r="AO171" s="91">
        <f t="shared" si="107"/>
        <v>0.19187237253422443</v>
      </c>
      <c r="AP171" s="185">
        <f t="shared" ref="AP171:BG171" si="108">AP163/AP$165</f>
        <v>0.1840035519472282</v>
      </c>
      <c r="AQ171" s="185">
        <f t="shared" si="108"/>
        <v>0.17342186106431473</v>
      </c>
      <c r="AR171" s="185">
        <f t="shared" si="108"/>
        <v>0.1161524500907441</v>
      </c>
      <c r="AS171" s="185">
        <f t="shared" si="108"/>
        <v>0.14250469924812031</v>
      </c>
      <c r="AT171" s="91">
        <f t="shared" si="108"/>
        <v>0.16733655975719794</v>
      </c>
      <c r="AU171" s="185">
        <f t="shared" si="108"/>
        <v>8.9788732394366202E-2</v>
      </c>
      <c r="AV171" s="185">
        <f t="shared" si="108"/>
        <v>0.49578195976638545</v>
      </c>
      <c r="AW171" s="566">
        <f t="shared" si="108"/>
        <v>7.5290896646132782E-2</v>
      </c>
      <c r="AX171" s="185">
        <f t="shared" si="108"/>
        <v>0.14555926272075503</v>
      </c>
      <c r="AY171" s="91">
        <f t="shared" si="108"/>
        <v>0.14611477021257854</v>
      </c>
      <c r="AZ171" s="185">
        <f t="shared" si="108"/>
        <v>8.6977487664433598E-2</v>
      </c>
      <c r="BA171" s="185">
        <f t="shared" si="108"/>
        <v>8.4888867183113614E-2</v>
      </c>
      <c r="BB171" s="185">
        <f t="shared" si="108"/>
        <v>8.2811897106343721E-2</v>
      </c>
      <c r="BC171" s="185">
        <f t="shared" si="108"/>
        <v>7.4937779473740168E-2</v>
      </c>
      <c r="BD171" s="91">
        <f t="shared" si="108"/>
        <v>8.209104411471714E-2</v>
      </c>
      <c r="BE171" s="91">
        <f t="shared" si="108"/>
        <v>9.1596639129659083E-2</v>
      </c>
      <c r="BF171" s="91">
        <f t="shared" si="108"/>
        <v>8.7304510301753874E-2</v>
      </c>
      <c r="BG171" s="91">
        <f t="shared" si="108"/>
        <v>7.9809438996420817E-2</v>
      </c>
      <c r="BH171" s="67"/>
    </row>
    <row r="172" spans="1:60" s="416" customFormat="1" hidden="1" outlineLevel="1" x14ac:dyDescent="0.25">
      <c r="A172" s="677" t="s">
        <v>760</v>
      </c>
      <c r="B172" s="358"/>
      <c r="C172" s="97"/>
      <c r="D172" s="97"/>
      <c r="E172" s="97"/>
      <c r="F172" s="97"/>
      <c r="G172" s="331"/>
      <c r="H172" s="331"/>
      <c r="I172" s="331"/>
      <c r="J172" s="331"/>
      <c r="K172" s="97"/>
      <c r="L172" s="331"/>
      <c r="M172" s="331"/>
      <c r="N172" s="331"/>
      <c r="O172" s="331"/>
      <c r="P172" s="97"/>
      <c r="Q172" s="331"/>
      <c r="R172" s="331"/>
      <c r="S172" s="331"/>
      <c r="T172" s="331"/>
      <c r="U172" s="97"/>
      <c r="V172" s="331"/>
      <c r="W172" s="331"/>
      <c r="X172" s="331"/>
      <c r="Y172" s="331"/>
      <c r="Z172" s="97"/>
      <c r="AA172" s="331">
        <f t="shared" ref="AA172:AO172" si="109">AA164/AA$165</f>
        <v>9.9051233396584434E-2</v>
      </c>
      <c r="AB172" s="331">
        <f t="shared" si="109"/>
        <v>0.1262572223411085</v>
      </c>
      <c r="AC172" s="331">
        <f t="shared" si="109"/>
        <v>0.11790655704832564</v>
      </c>
      <c r="AD172" s="331">
        <f t="shared" si="109"/>
        <v>9.9531792780546746E-2</v>
      </c>
      <c r="AE172" s="97">
        <f t="shared" si="109"/>
        <v>0.10946127789893741</v>
      </c>
      <c r="AF172" s="331">
        <f t="shared" si="109"/>
        <v>0.10813756357471543</v>
      </c>
      <c r="AG172" s="331">
        <f t="shared" si="109"/>
        <v>0.1793837123991196</v>
      </c>
      <c r="AH172" s="331">
        <f t="shared" si="109"/>
        <v>0.17946605141727093</v>
      </c>
      <c r="AI172" s="331">
        <f t="shared" si="109"/>
        <v>0.12968201878465543</v>
      </c>
      <c r="AJ172" s="97">
        <f t="shared" si="109"/>
        <v>0.14349117595666608</v>
      </c>
      <c r="AK172" s="331">
        <f t="shared" si="109"/>
        <v>0.15972511453561017</v>
      </c>
      <c r="AL172" s="331">
        <f t="shared" si="109"/>
        <v>0.29677658391997036</v>
      </c>
      <c r="AM172" s="331">
        <f t="shared" si="109"/>
        <v>0.22784997046662728</v>
      </c>
      <c r="AN172" s="331">
        <f t="shared" si="109"/>
        <v>0.19963453631795341</v>
      </c>
      <c r="AO172" s="97">
        <f t="shared" si="109"/>
        <v>0.20214868312313608</v>
      </c>
      <c r="AP172" s="331">
        <f t="shared" ref="AP172:BG172" si="110">AP164/AP$165</f>
        <v>0.22846631992896105</v>
      </c>
      <c r="AQ172" s="331">
        <f t="shared" si="110"/>
        <v>0.263303934198791</v>
      </c>
      <c r="AR172" s="331">
        <f t="shared" si="110"/>
        <v>0.45916515426497279</v>
      </c>
      <c r="AS172" s="331">
        <f t="shared" si="110"/>
        <v>0.23355263157894737</v>
      </c>
      <c r="AT172" s="97">
        <f t="shared" si="110"/>
        <v>0.25316490307057121</v>
      </c>
      <c r="AU172" s="331">
        <f t="shared" si="110"/>
        <v>0.34230382293762573</v>
      </c>
      <c r="AV172" s="331">
        <f t="shared" si="110"/>
        <v>0.66320571057754707</v>
      </c>
      <c r="AW172" s="567">
        <f t="shared" si="110"/>
        <v>0.49646360939995438</v>
      </c>
      <c r="AX172" s="331">
        <f t="shared" si="110"/>
        <v>0.41137628196911452</v>
      </c>
      <c r="AY172" s="97">
        <f t="shared" si="110"/>
        <v>0.4384942926008713</v>
      </c>
      <c r="AZ172" s="331">
        <f t="shared" si="110"/>
        <v>0.43348276464488289</v>
      </c>
      <c r="BA172" s="331">
        <f t="shared" si="110"/>
        <v>0.44401762053673027</v>
      </c>
      <c r="BB172" s="331">
        <f t="shared" si="110"/>
        <v>0.45459713293114945</v>
      </c>
      <c r="BC172" s="331">
        <f t="shared" si="110"/>
        <v>0.50369316747006565</v>
      </c>
      <c r="BD172" s="97">
        <f t="shared" si="110"/>
        <v>0.4607913309223986</v>
      </c>
      <c r="BE172" s="97">
        <f t="shared" si="110"/>
        <v>0.38823787445566238</v>
      </c>
      <c r="BF172" s="97">
        <f t="shared" si="110"/>
        <v>0.38400940618679719</v>
      </c>
      <c r="BG172" s="97">
        <f t="shared" si="110"/>
        <v>0.40402980617647544</v>
      </c>
      <c r="BH172" s="67"/>
    </row>
    <row r="173" spans="1:60" s="735" customFormat="1" hidden="1" outlineLevel="1" x14ac:dyDescent="0.25">
      <c r="A173" s="678" t="s">
        <v>752</v>
      </c>
      <c r="B173" s="160"/>
      <c r="C173" s="96"/>
      <c r="D173" s="96"/>
      <c r="E173" s="96"/>
      <c r="F173" s="96"/>
      <c r="G173" s="95"/>
      <c r="H173" s="95"/>
      <c r="I173" s="95"/>
      <c r="J173" s="95"/>
      <c r="K173" s="96"/>
      <c r="L173" s="95"/>
      <c r="M173" s="95"/>
      <c r="N173" s="95"/>
      <c r="O173" s="95"/>
      <c r="P173" s="96"/>
      <c r="Q173" s="95"/>
      <c r="R173" s="95"/>
      <c r="S173" s="95"/>
      <c r="T173" s="95"/>
      <c r="U173" s="96"/>
      <c r="V173" s="95"/>
      <c r="W173" s="95"/>
      <c r="X173" s="95"/>
      <c r="Y173" s="95"/>
      <c r="Z173" s="96"/>
      <c r="AA173" s="95">
        <f t="shared" ref="AA173:BG173" si="111">SUM(AA169:AA172)</f>
        <v>0.99999999999999989</v>
      </c>
      <c r="AB173" s="95">
        <f t="shared" si="111"/>
        <v>1</v>
      </c>
      <c r="AC173" s="95">
        <f t="shared" si="111"/>
        <v>0.99999999999999989</v>
      </c>
      <c r="AD173" s="95">
        <f t="shared" si="111"/>
        <v>1</v>
      </c>
      <c r="AE173" s="96">
        <f t="shared" si="111"/>
        <v>1</v>
      </c>
      <c r="AF173" s="95">
        <f t="shared" si="111"/>
        <v>1</v>
      </c>
      <c r="AG173" s="95">
        <f t="shared" si="111"/>
        <v>1</v>
      </c>
      <c r="AH173" s="95">
        <f t="shared" si="111"/>
        <v>1</v>
      </c>
      <c r="AI173" s="95">
        <f t="shared" si="111"/>
        <v>1</v>
      </c>
      <c r="AJ173" s="96">
        <f t="shared" si="111"/>
        <v>0.99999999999999989</v>
      </c>
      <c r="AK173" s="95">
        <f t="shared" si="111"/>
        <v>1</v>
      </c>
      <c r="AL173" s="95">
        <f t="shared" si="111"/>
        <v>1</v>
      </c>
      <c r="AM173" s="95">
        <f t="shared" si="111"/>
        <v>1</v>
      </c>
      <c r="AN173" s="95">
        <f t="shared" si="111"/>
        <v>1</v>
      </c>
      <c r="AO173" s="96">
        <f t="shared" si="111"/>
        <v>1</v>
      </c>
      <c r="AP173" s="95">
        <f t="shared" si="111"/>
        <v>1</v>
      </c>
      <c r="AQ173" s="95">
        <f t="shared" si="111"/>
        <v>1</v>
      </c>
      <c r="AR173" s="95">
        <f t="shared" si="111"/>
        <v>1</v>
      </c>
      <c r="AS173" s="95">
        <f t="shared" si="111"/>
        <v>1</v>
      </c>
      <c r="AT173" s="96">
        <f t="shared" si="111"/>
        <v>1</v>
      </c>
      <c r="AU173" s="95">
        <f t="shared" si="111"/>
        <v>1</v>
      </c>
      <c r="AV173" s="95">
        <f t="shared" si="111"/>
        <v>1</v>
      </c>
      <c r="AW173" s="568">
        <f t="shared" si="111"/>
        <v>1</v>
      </c>
      <c r="AX173" s="95">
        <f t="shared" si="111"/>
        <v>1</v>
      </c>
      <c r="AY173" s="96">
        <f t="shared" si="111"/>
        <v>1.0000000000000002</v>
      </c>
      <c r="AZ173" s="95">
        <f t="shared" si="111"/>
        <v>1</v>
      </c>
      <c r="BA173" s="95">
        <f t="shared" si="111"/>
        <v>1</v>
      </c>
      <c r="BB173" s="95">
        <f t="shared" si="111"/>
        <v>0.99999999999999989</v>
      </c>
      <c r="BC173" s="95">
        <f t="shared" si="111"/>
        <v>1</v>
      </c>
      <c r="BD173" s="96">
        <f t="shared" si="111"/>
        <v>1</v>
      </c>
      <c r="BE173" s="96">
        <f t="shared" si="111"/>
        <v>1</v>
      </c>
      <c r="BF173" s="96">
        <f t="shared" si="111"/>
        <v>1</v>
      </c>
      <c r="BG173" s="96">
        <f t="shared" si="111"/>
        <v>0.99999999999999989</v>
      </c>
      <c r="BH173" s="70"/>
    </row>
    <row r="174" spans="1:60" s="420" customFormat="1" collapsed="1" x14ac:dyDescent="0.25">
      <c r="A174" s="481"/>
      <c r="B174" s="788"/>
      <c r="C174" s="858"/>
      <c r="D174" s="858"/>
      <c r="E174" s="858"/>
      <c r="F174" s="858"/>
      <c r="G174" s="859"/>
      <c r="H174" s="859"/>
      <c r="I174" s="859"/>
      <c r="J174" s="859"/>
      <c r="K174" s="858"/>
      <c r="L174" s="859"/>
      <c r="M174" s="859"/>
      <c r="N174" s="859"/>
      <c r="O174" s="859"/>
      <c r="P174" s="858"/>
      <c r="Q174" s="859"/>
      <c r="R174" s="859"/>
      <c r="S174" s="859"/>
      <c r="T174" s="859"/>
      <c r="U174" s="858"/>
      <c r="V174" s="859"/>
      <c r="W174" s="859"/>
      <c r="X174" s="859"/>
      <c r="Y174" s="859"/>
      <c r="Z174" s="858"/>
      <c r="AA174" s="859"/>
      <c r="AB174" s="859"/>
      <c r="AC174" s="859"/>
      <c r="AD174" s="859"/>
      <c r="AE174" s="858"/>
      <c r="AF174" s="859"/>
      <c r="AG174" s="859"/>
      <c r="AH174" s="859"/>
      <c r="AI174" s="859"/>
      <c r="AJ174" s="858"/>
      <c r="AK174" s="859"/>
      <c r="AL174" s="859"/>
      <c r="AM174" s="859"/>
      <c r="AN174" s="859"/>
      <c r="AO174" s="858"/>
      <c r="AP174" s="859"/>
      <c r="AQ174" s="859"/>
      <c r="AR174" s="859"/>
      <c r="AS174" s="859"/>
      <c r="AT174" s="858"/>
      <c r="AU174" s="859"/>
      <c r="AV174" s="859"/>
      <c r="AW174" s="860"/>
      <c r="AX174" s="859"/>
      <c r="AY174" s="858"/>
      <c r="AZ174" s="859"/>
      <c r="BA174" s="859"/>
      <c r="BB174" s="859"/>
      <c r="BC174" s="859"/>
      <c r="BD174" s="858"/>
      <c r="BE174" s="858"/>
      <c r="BF174" s="858"/>
      <c r="BG174" s="858"/>
      <c r="BH174" s="789"/>
    </row>
    <row r="175" spans="1:60" s="657" customFormat="1" hidden="1" outlineLevel="1" x14ac:dyDescent="0.25">
      <c r="A175" s="685" t="str">
        <f>A58</f>
        <v>United States Streaming ARPU, $/member</v>
      </c>
      <c r="B175" s="658"/>
      <c r="C175" s="659"/>
      <c r="D175" s="659"/>
      <c r="E175" s="659"/>
      <c r="F175" s="659"/>
      <c r="G175" s="660"/>
      <c r="H175" s="660"/>
      <c r="I175" s="660"/>
      <c r="J175" s="660"/>
      <c r="K175" s="659"/>
      <c r="L175" s="660"/>
      <c r="M175" s="660"/>
      <c r="N175" s="660"/>
      <c r="O175" s="660"/>
      <c r="P175" s="659"/>
      <c r="Q175" s="660"/>
      <c r="R175" s="660"/>
      <c r="S175" s="660"/>
      <c r="T175" s="660"/>
      <c r="U175" s="659"/>
      <c r="V175" s="660"/>
      <c r="W175" s="660"/>
      <c r="X175" s="660"/>
      <c r="Y175" s="660"/>
      <c r="Z175" s="659"/>
      <c r="AA175" s="660">
        <f t="shared" ref="AA175:AO175" si="112">AA58</f>
        <v>10.074300986842106</v>
      </c>
      <c r="AB175" s="660">
        <f t="shared" si="112"/>
        <v>10.067062528837088</v>
      </c>
      <c r="AC175" s="660">
        <f t="shared" si="112"/>
        <v>10.145506288442119</v>
      </c>
      <c r="AD175" s="660">
        <f t="shared" si="112"/>
        <v>10.434922311298868</v>
      </c>
      <c r="AE175" s="659">
        <f t="shared" si="112"/>
        <v>10.180448028855047</v>
      </c>
      <c r="AF175" s="660">
        <f t="shared" si="112"/>
        <v>11.245409974327368</v>
      </c>
      <c r="AG175" s="660">
        <f t="shared" si="112"/>
        <v>11.365992471588351</v>
      </c>
      <c r="AH175" s="660">
        <f t="shared" si="112"/>
        <v>11.438083767284235</v>
      </c>
      <c r="AI175" s="660">
        <f t="shared" si="112"/>
        <v>11.527143265507652</v>
      </c>
      <c r="AJ175" s="659">
        <f t="shared" si="112"/>
        <v>11.394157369676902</v>
      </c>
      <c r="AK175" s="660">
        <f t="shared" si="112"/>
        <v>11.644442572547696</v>
      </c>
      <c r="AL175" s="660">
        <f t="shared" si="112"/>
        <v>12.738030338286295</v>
      </c>
      <c r="AM175" s="660">
        <f t="shared" si="112"/>
        <v>13.323050840905765</v>
      </c>
      <c r="AN175" s="660">
        <f t="shared" si="112"/>
        <v>13.467052431717113</v>
      </c>
      <c r="AO175" s="659">
        <f t="shared" si="112"/>
        <v>12.793144045864217</v>
      </c>
      <c r="AP175" s="660"/>
      <c r="AQ175" s="660"/>
      <c r="AR175" s="660"/>
      <c r="AS175" s="660"/>
      <c r="AT175" s="659"/>
      <c r="AU175" s="660"/>
      <c r="AV175" s="660"/>
      <c r="AW175" s="661"/>
      <c r="AX175" s="660"/>
      <c r="AY175" s="659"/>
      <c r="AZ175" s="660"/>
      <c r="BA175" s="660"/>
      <c r="BB175" s="660"/>
      <c r="BC175" s="660"/>
      <c r="BD175" s="659"/>
      <c r="BE175" s="659"/>
      <c r="BF175" s="659"/>
      <c r="BG175" s="659"/>
      <c r="BH175" s="662"/>
    </row>
    <row r="176" spans="1:60" s="657" customFormat="1" hidden="1" outlineLevel="1" x14ac:dyDescent="0.25">
      <c r="A176" s="686" t="str">
        <f>A60</f>
        <v>Calculated Canada Streaming ARPU, $/member</v>
      </c>
      <c r="B176" s="687"/>
      <c r="C176" s="688"/>
      <c r="D176" s="688"/>
      <c r="E176" s="688"/>
      <c r="F176" s="688"/>
      <c r="G176" s="689"/>
      <c r="H176" s="689"/>
      <c r="I176" s="689"/>
      <c r="J176" s="689"/>
      <c r="K176" s="688"/>
      <c r="L176" s="689"/>
      <c r="M176" s="689"/>
      <c r="N176" s="689"/>
      <c r="O176" s="689"/>
      <c r="P176" s="688"/>
      <c r="Q176" s="689"/>
      <c r="R176" s="689"/>
      <c r="S176" s="689"/>
      <c r="T176" s="689"/>
      <c r="U176" s="688"/>
      <c r="V176" s="689"/>
      <c r="W176" s="689"/>
      <c r="X176" s="689"/>
      <c r="Y176" s="689"/>
      <c r="Z176" s="688"/>
      <c r="AA176" s="689">
        <f t="shared" ref="AA176:AO176" si="113">AA60</f>
        <v>7.4439102564102564</v>
      </c>
      <c r="AB176" s="689">
        <f t="shared" si="113"/>
        <v>7.5533955911314345</v>
      </c>
      <c r="AC176" s="689">
        <f t="shared" si="113"/>
        <v>7.8982102908277376</v>
      </c>
      <c r="AD176" s="689">
        <f t="shared" si="113"/>
        <v>8.7943146840485085</v>
      </c>
      <c r="AE176" s="688">
        <f t="shared" si="113"/>
        <v>7.9224577056044847</v>
      </c>
      <c r="AF176" s="689">
        <f t="shared" si="113"/>
        <v>9.1037257302781125</v>
      </c>
      <c r="AG176" s="689">
        <f t="shared" si="113"/>
        <v>8.8822977925509168</v>
      </c>
      <c r="AH176" s="689">
        <f t="shared" si="113"/>
        <v>8.7783350050150357</v>
      </c>
      <c r="AI176" s="689">
        <f t="shared" si="113"/>
        <v>8.9195607486746695</v>
      </c>
      <c r="AJ176" s="688">
        <f t="shared" si="113"/>
        <v>8.9209798191296841</v>
      </c>
      <c r="AK176" s="689">
        <f t="shared" si="113"/>
        <v>9.6408152531229607</v>
      </c>
      <c r="AL176" s="689">
        <f t="shared" si="113"/>
        <v>10.519710461907005</v>
      </c>
      <c r="AM176" s="689">
        <f t="shared" si="113"/>
        <v>10.78974040748785</v>
      </c>
      <c r="AN176" s="689">
        <f t="shared" si="113"/>
        <v>10.892244337680227</v>
      </c>
      <c r="AO176" s="688">
        <f t="shared" si="113"/>
        <v>10.460627615049511</v>
      </c>
      <c r="AP176" s="689"/>
      <c r="AQ176" s="689"/>
      <c r="AR176" s="689"/>
      <c r="AS176" s="689"/>
      <c r="AT176" s="688"/>
      <c r="AU176" s="689"/>
      <c r="AV176" s="689"/>
      <c r="AW176" s="690"/>
      <c r="AX176" s="689"/>
      <c r="AY176" s="688"/>
      <c r="AZ176" s="689"/>
      <c r="BA176" s="689"/>
      <c r="BB176" s="689"/>
      <c r="BC176" s="689"/>
      <c r="BD176" s="688"/>
      <c r="BE176" s="688"/>
      <c r="BF176" s="688"/>
      <c r="BG176" s="688"/>
      <c r="BH176" s="662"/>
    </row>
    <row r="177" spans="1:60" s="657" customFormat="1" collapsed="1" x14ac:dyDescent="0.25">
      <c r="A177" s="691" t="str">
        <f>A62</f>
        <v>United States &amp; Canada Streaming ARPU, $/member</v>
      </c>
      <c r="B177" s="658"/>
      <c r="C177" s="659"/>
      <c r="D177" s="659"/>
      <c r="E177" s="659"/>
      <c r="F177" s="659"/>
      <c r="G177" s="660"/>
      <c r="H177" s="660"/>
      <c r="I177" s="660"/>
      <c r="J177" s="660"/>
      <c r="K177" s="659"/>
      <c r="L177" s="660"/>
      <c r="M177" s="660"/>
      <c r="N177" s="660"/>
      <c r="O177" s="660"/>
      <c r="P177" s="659"/>
      <c r="Q177" s="660"/>
      <c r="R177" s="660"/>
      <c r="S177" s="660"/>
      <c r="T177" s="660"/>
      <c r="U177" s="659"/>
      <c r="V177" s="660"/>
      <c r="W177" s="660"/>
      <c r="X177" s="660"/>
      <c r="Y177" s="660"/>
      <c r="Z177" s="659"/>
      <c r="AA177" s="660">
        <f t="shared" ref="AA177:BG177" si="114">AA62</f>
        <v>9.84</v>
      </c>
      <c r="AB177" s="660">
        <f t="shared" si="114"/>
        <v>9.83</v>
      </c>
      <c r="AC177" s="660">
        <f t="shared" si="114"/>
        <v>9.93</v>
      </c>
      <c r="AD177" s="660">
        <f t="shared" si="114"/>
        <v>10.28</v>
      </c>
      <c r="AE177" s="659">
        <f t="shared" si="114"/>
        <v>9.9700000000000006</v>
      </c>
      <c r="AF177" s="660">
        <f t="shared" si="114"/>
        <v>11.04</v>
      </c>
      <c r="AG177" s="660">
        <f t="shared" si="114"/>
        <v>11.13</v>
      </c>
      <c r="AH177" s="660">
        <f t="shared" si="114"/>
        <v>11.18</v>
      </c>
      <c r="AI177" s="660">
        <f t="shared" si="114"/>
        <v>11.28</v>
      </c>
      <c r="AJ177" s="659">
        <f t="shared" si="114"/>
        <v>11.16</v>
      </c>
      <c r="AK177" s="660">
        <f t="shared" si="114"/>
        <v>11.45</v>
      </c>
      <c r="AL177" s="660">
        <f t="shared" si="114"/>
        <v>12.52</v>
      </c>
      <c r="AM177" s="660">
        <f t="shared" si="114"/>
        <v>13.08</v>
      </c>
      <c r="AN177" s="660">
        <f t="shared" si="114"/>
        <v>13.22</v>
      </c>
      <c r="AO177" s="659">
        <f t="shared" si="114"/>
        <v>12.57</v>
      </c>
      <c r="AP177" s="660">
        <f t="shared" si="114"/>
        <v>13.09</v>
      </c>
      <c r="AQ177" s="660">
        <f t="shared" si="114"/>
        <v>13.25</v>
      </c>
      <c r="AR177" s="660">
        <f t="shared" si="114"/>
        <v>13.4</v>
      </c>
      <c r="AS177" s="660">
        <f t="shared" si="114"/>
        <v>13.51</v>
      </c>
      <c r="AT177" s="659">
        <f t="shared" si="114"/>
        <v>13.32</v>
      </c>
      <c r="AU177" s="660">
        <f t="shared" si="114"/>
        <v>14.25</v>
      </c>
      <c r="AV177" s="660">
        <f t="shared" si="114"/>
        <v>14.54</v>
      </c>
      <c r="AW177" s="661">
        <f t="shared" si="114"/>
        <v>14.68</v>
      </c>
      <c r="AX177" s="660">
        <f t="shared" si="114"/>
        <v>14.8268</v>
      </c>
      <c r="AY177" s="659">
        <f t="shared" si="114"/>
        <v>14.574199999999999</v>
      </c>
      <c r="AZ177" s="660">
        <f t="shared" si="114"/>
        <v>14.975068</v>
      </c>
      <c r="BA177" s="660">
        <f t="shared" si="114"/>
        <v>15.124818680000001</v>
      </c>
      <c r="BB177" s="660">
        <f t="shared" si="114"/>
        <v>15.276066866800001</v>
      </c>
      <c r="BC177" s="660">
        <f t="shared" si="114"/>
        <v>15.428827535468001</v>
      </c>
      <c r="BD177" s="659">
        <f t="shared" si="114"/>
        <v>15.201195270567002</v>
      </c>
      <c r="BE177" s="659">
        <f t="shared" si="114"/>
        <v>15.657231128684012</v>
      </c>
      <c r="BF177" s="659">
        <f t="shared" si="114"/>
        <v>16.126948062544532</v>
      </c>
      <c r="BG177" s="659">
        <f t="shared" si="114"/>
        <v>16.61075650442087</v>
      </c>
      <c r="BH177" s="662"/>
    </row>
    <row r="178" spans="1:60" s="657" customFormat="1" x14ac:dyDescent="0.25">
      <c r="A178" s="691" t="str">
        <f>A86</f>
        <v>EMEA Streaming ARPU, $/member</v>
      </c>
      <c r="B178" s="658"/>
      <c r="C178" s="659"/>
      <c r="D178" s="659"/>
      <c r="E178" s="659"/>
      <c r="F178" s="659"/>
      <c r="G178" s="660"/>
      <c r="H178" s="660"/>
      <c r="I178" s="660"/>
      <c r="J178" s="660"/>
      <c r="K178" s="659"/>
      <c r="L178" s="660"/>
      <c r="M178" s="660"/>
      <c r="N178" s="660"/>
      <c r="O178" s="660"/>
      <c r="P178" s="659"/>
      <c r="Q178" s="660"/>
      <c r="R178" s="660"/>
      <c r="S178" s="660"/>
      <c r="T178" s="660"/>
      <c r="U178" s="659"/>
      <c r="V178" s="660"/>
      <c r="W178" s="660"/>
      <c r="X178" s="660"/>
      <c r="Y178" s="660"/>
      <c r="Z178" s="659"/>
      <c r="AA178" s="660">
        <f t="shared" ref="AA178:BG178" si="115">AA86</f>
        <v>8.57</v>
      </c>
      <c r="AB178" s="660">
        <f t="shared" si="115"/>
        <v>8.6999999999999993</v>
      </c>
      <c r="AC178" s="660">
        <f t="shared" si="115"/>
        <v>9.25</v>
      </c>
      <c r="AD178" s="660">
        <f t="shared" si="115"/>
        <v>9.94</v>
      </c>
      <c r="AE178" s="659">
        <f t="shared" si="115"/>
        <v>9.17</v>
      </c>
      <c r="AF178" s="660">
        <f t="shared" si="115"/>
        <v>10.68</v>
      </c>
      <c r="AG178" s="660">
        <f t="shared" si="115"/>
        <v>10.72</v>
      </c>
      <c r="AH178" s="660">
        <f t="shared" si="115"/>
        <v>10.28</v>
      </c>
      <c r="AI178" s="660">
        <f t="shared" si="115"/>
        <v>10.199999999999999</v>
      </c>
      <c r="AJ178" s="659">
        <f t="shared" si="115"/>
        <v>10.45</v>
      </c>
      <c r="AK178" s="660">
        <f t="shared" si="115"/>
        <v>10.23</v>
      </c>
      <c r="AL178" s="660">
        <f t="shared" si="115"/>
        <v>10.130000000000001</v>
      </c>
      <c r="AM178" s="660">
        <f t="shared" si="115"/>
        <v>10.4</v>
      </c>
      <c r="AN178" s="660">
        <f t="shared" si="115"/>
        <v>10.51</v>
      </c>
      <c r="AO178" s="659">
        <f t="shared" si="115"/>
        <v>10.33</v>
      </c>
      <c r="AP178" s="660">
        <f t="shared" si="115"/>
        <v>10.4</v>
      </c>
      <c r="AQ178" s="660">
        <f t="shared" si="115"/>
        <v>10.5</v>
      </c>
      <c r="AR178" s="660">
        <f t="shared" si="115"/>
        <v>10.88</v>
      </c>
      <c r="AS178" s="660">
        <f t="shared" si="115"/>
        <v>11.05</v>
      </c>
      <c r="AT178" s="659">
        <f t="shared" si="115"/>
        <v>10.72</v>
      </c>
      <c r="AU178" s="660">
        <f t="shared" si="115"/>
        <v>11.56</v>
      </c>
      <c r="AV178" s="660">
        <f t="shared" si="115"/>
        <v>11.66</v>
      </c>
      <c r="AW178" s="661">
        <f t="shared" si="115"/>
        <v>11.65</v>
      </c>
      <c r="AX178" s="660">
        <f t="shared" si="115"/>
        <v>11.70825</v>
      </c>
      <c r="AY178" s="659">
        <f t="shared" si="115"/>
        <v>11.644562499999999</v>
      </c>
      <c r="AZ178" s="660">
        <f t="shared" si="115"/>
        <v>11.8253325</v>
      </c>
      <c r="BA178" s="660">
        <f t="shared" si="115"/>
        <v>11.943585825</v>
      </c>
      <c r="BB178" s="660">
        <f t="shared" si="115"/>
        <v>12.06302168325</v>
      </c>
      <c r="BC178" s="660">
        <f t="shared" si="115"/>
        <v>12.1836519000825</v>
      </c>
      <c r="BD178" s="659">
        <f t="shared" si="115"/>
        <v>12.003897977083126</v>
      </c>
      <c r="BE178" s="659">
        <f t="shared" si="115"/>
        <v>12.484053896166451</v>
      </c>
      <c r="BF178" s="659">
        <f t="shared" si="115"/>
        <v>12.983416052013109</v>
      </c>
      <c r="BG178" s="659">
        <f t="shared" si="115"/>
        <v>13.502752694093633</v>
      </c>
      <c r="BH178" s="662"/>
    </row>
    <row r="179" spans="1:60" s="657" customFormat="1" x14ac:dyDescent="0.25">
      <c r="A179" s="691" t="str">
        <f>A106</f>
        <v>Latin America Streaming ARPU, $/member</v>
      </c>
      <c r="B179" s="658"/>
      <c r="C179" s="659"/>
      <c r="D179" s="659"/>
      <c r="E179" s="659"/>
      <c r="F179" s="659"/>
      <c r="G179" s="660"/>
      <c r="H179" s="660"/>
      <c r="I179" s="660"/>
      <c r="J179" s="660"/>
      <c r="K179" s="659"/>
      <c r="L179" s="660"/>
      <c r="M179" s="660"/>
      <c r="N179" s="660"/>
      <c r="O179" s="660"/>
      <c r="P179" s="659"/>
      <c r="Q179" s="660"/>
      <c r="R179" s="660"/>
      <c r="S179" s="660"/>
      <c r="T179" s="660"/>
      <c r="U179" s="659"/>
      <c r="V179" s="660"/>
      <c r="W179" s="660"/>
      <c r="X179" s="660"/>
      <c r="Y179" s="660"/>
      <c r="Z179" s="659"/>
      <c r="AA179" s="660">
        <f t="shared" ref="AA179:BG179" si="116">AA106</f>
        <v>7.46</v>
      </c>
      <c r="AB179" s="660">
        <f t="shared" si="116"/>
        <v>7.84</v>
      </c>
      <c r="AC179" s="660">
        <f t="shared" si="116"/>
        <v>8.2100000000000009</v>
      </c>
      <c r="AD179" s="660">
        <f t="shared" si="116"/>
        <v>8.69</v>
      </c>
      <c r="AE179" s="659">
        <f t="shared" si="116"/>
        <v>8.09</v>
      </c>
      <c r="AF179" s="660">
        <f t="shared" si="116"/>
        <v>8.7899999999999991</v>
      </c>
      <c r="AG179" s="660">
        <f t="shared" si="116"/>
        <v>8.6</v>
      </c>
      <c r="AH179" s="660">
        <f t="shared" si="116"/>
        <v>7.99</v>
      </c>
      <c r="AI179" s="660">
        <f t="shared" si="116"/>
        <v>7.53</v>
      </c>
      <c r="AJ179" s="659">
        <f t="shared" si="116"/>
        <v>8.19</v>
      </c>
      <c r="AK179" s="660">
        <f t="shared" si="116"/>
        <v>7.84</v>
      </c>
      <c r="AL179" s="660">
        <f t="shared" si="116"/>
        <v>8.14</v>
      </c>
      <c r="AM179" s="660">
        <f t="shared" si="116"/>
        <v>8.6300000000000008</v>
      </c>
      <c r="AN179" s="660">
        <f t="shared" si="116"/>
        <v>8.18</v>
      </c>
      <c r="AO179" s="659">
        <f t="shared" si="116"/>
        <v>8.2100000000000009</v>
      </c>
      <c r="AP179" s="660">
        <f t="shared" si="116"/>
        <v>8.0500000000000007</v>
      </c>
      <c r="AQ179" s="660">
        <f t="shared" si="116"/>
        <v>7.44</v>
      </c>
      <c r="AR179" s="660">
        <f t="shared" si="116"/>
        <v>7.27</v>
      </c>
      <c r="AS179" s="660">
        <f t="shared" si="116"/>
        <v>7.12</v>
      </c>
      <c r="AT179" s="659">
        <f t="shared" si="116"/>
        <v>7.45</v>
      </c>
      <c r="AU179" s="660">
        <f t="shared" si="116"/>
        <v>7.39</v>
      </c>
      <c r="AV179" s="660">
        <f t="shared" si="116"/>
        <v>7.5</v>
      </c>
      <c r="AW179" s="661">
        <f t="shared" si="116"/>
        <v>7.86</v>
      </c>
      <c r="AX179" s="660">
        <f t="shared" si="116"/>
        <v>7.9386000000000001</v>
      </c>
      <c r="AY179" s="659">
        <f t="shared" si="116"/>
        <v>7.6721500000000002</v>
      </c>
      <c r="AZ179" s="660">
        <f t="shared" si="116"/>
        <v>8.0179860000000005</v>
      </c>
      <c r="BA179" s="660">
        <f t="shared" si="116"/>
        <v>8.0981658599999999</v>
      </c>
      <c r="BB179" s="660">
        <f t="shared" si="116"/>
        <v>8.1791475186000007</v>
      </c>
      <c r="BC179" s="660">
        <f t="shared" si="116"/>
        <v>8.2609389937860005</v>
      </c>
      <c r="BD179" s="659">
        <f t="shared" si="116"/>
        <v>8.1390595930965013</v>
      </c>
      <c r="BE179" s="659">
        <f t="shared" si="116"/>
        <v>8.5460125727513265</v>
      </c>
      <c r="BF179" s="659">
        <f t="shared" si="116"/>
        <v>8.9733132013888941</v>
      </c>
      <c r="BG179" s="659">
        <f t="shared" si="116"/>
        <v>9.4219788614583386</v>
      </c>
      <c r="BH179" s="662"/>
    </row>
    <row r="180" spans="1:60" s="657" customFormat="1" x14ac:dyDescent="0.25">
      <c r="A180" s="692" t="str">
        <f>A126</f>
        <v>Asia Pacific Streaming ARPU, $/member</v>
      </c>
      <c r="B180" s="687"/>
      <c r="C180" s="688"/>
      <c r="D180" s="688"/>
      <c r="E180" s="688"/>
      <c r="F180" s="688"/>
      <c r="G180" s="689"/>
      <c r="H180" s="689"/>
      <c r="I180" s="689"/>
      <c r="J180" s="689"/>
      <c r="K180" s="688"/>
      <c r="L180" s="689"/>
      <c r="M180" s="689"/>
      <c r="N180" s="689"/>
      <c r="O180" s="689"/>
      <c r="P180" s="688"/>
      <c r="Q180" s="689"/>
      <c r="R180" s="689"/>
      <c r="S180" s="689"/>
      <c r="T180" s="689"/>
      <c r="U180" s="688"/>
      <c r="V180" s="689"/>
      <c r="W180" s="689"/>
      <c r="X180" s="689"/>
      <c r="Y180" s="689"/>
      <c r="Z180" s="688"/>
      <c r="AA180" s="689">
        <f t="shared" ref="AA180:BG180" si="117">AA126</f>
        <v>8.81</v>
      </c>
      <c r="AB180" s="689">
        <f t="shared" si="117"/>
        <v>8.86</v>
      </c>
      <c r="AC180" s="689">
        <f t="shared" si="117"/>
        <v>9.07</v>
      </c>
      <c r="AD180" s="689">
        <f t="shared" si="117"/>
        <v>9.5500000000000007</v>
      </c>
      <c r="AE180" s="688">
        <f t="shared" si="117"/>
        <v>9.11</v>
      </c>
      <c r="AF180" s="689">
        <f t="shared" si="117"/>
        <v>9.5500000000000007</v>
      </c>
      <c r="AG180" s="689">
        <f t="shared" si="117"/>
        <v>9.36</v>
      </c>
      <c r="AH180" s="689">
        <f t="shared" si="117"/>
        <v>9.3000000000000007</v>
      </c>
      <c r="AI180" s="689">
        <f t="shared" si="117"/>
        <v>9.19</v>
      </c>
      <c r="AJ180" s="688">
        <f t="shared" si="117"/>
        <v>9.33</v>
      </c>
      <c r="AK180" s="689">
        <f t="shared" si="117"/>
        <v>9.3699999999999992</v>
      </c>
      <c r="AL180" s="689">
        <f t="shared" si="117"/>
        <v>9.2899999999999991</v>
      </c>
      <c r="AM180" s="689">
        <f t="shared" si="117"/>
        <v>9.2899999999999991</v>
      </c>
      <c r="AN180" s="689">
        <f t="shared" si="117"/>
        <v>9.07</v>
      </c>
      <c r="AO180" s="688">
        <f t="shared" si="117"/>
        <v>9.24</v>
      </c>
      <c r="AP180" s="689">
        <f t="shared" si="117"/>
        <v>8.94</v>
      </c>
      <c r="AQ180" s="689">
        <f t="shared" si="117"/>
        <v>8.9600000000000009</v>
      </c>
      <c r="AR180" s="689">
        <f t="shared" si="117"/>
        <v>9.1999999999999993</v>
      </c>
      <c r="AS180" s="689">
        <f t="shared" si="117"/>
        <v>9.32</v>
      </c>
      <c r="AT180" s="688">
        <f t="shared" si="117"/>
        <v>9.1199999999999992</v>
      </c>
      <c r="AU180" s="689">
        <f t="shared" si="117"/>
        <v>9.7100000000000009</v>
      </c>
      <c r="AV180" s="689">
        <f t="shared" si="117"/>
        <v>9.74</v>
      </c>
      <c r="AW180" s="690">
        <f t="shared" si="117"/>
        <v>9.6</v>
      </c>
      <c r="AX180" s="689">
        <f t="shared" si="117"/>
        <v>9.5039999999999996</v>
      </c>
      <c r="AY180" s="688">
        <f t="shared" si="117"/>
        <v>9.6385000000000005</v>
      </c>
      <c r="AZ180" s="689">
        <f t="shared" si="117"/>
        <v>9.5515199999999982</v>
      </c>
      <c r="BA180" s="689">
        <f t="shared" si="117"/>
        <v>9.5992775999999971</v>
      </c>
      <c r="BB180" s="689">
        <f t="shared" si="117"/>
        <v>9.6472739879999967</v>
      </c>
      <c r="BC180" s="689">
        <f t="shared" si="117"/>
        <v>9.6955103579399964</v>
      </c>
      <c r="BD180" s="688">
        <f t="shared" si="117"/>
        <v>9.6233954864849967</v>
      </c>
      <c r="BE180" s="688">
        <f t="shared" si="117"/>
        <v>9.6715124639174199</v>
      </c>
      <c r="BF180" s="688">
        <f t="shared" si="117"/>
        <v>9.7198700262370057</v>
      </c>
      <c r="BG180" s="688">
        <f t="shared" si="117"/>
        <v>9.7684693763681896</v>
      </c>
      <c r="BH180" s="662"/>
    </row>
    <row r="181" spans="1:60" s="58" customFormat="1" x14ac:dyDescent="0.25">
      <c r="A181" s="663" t="s">
        <v>651</v>
      </c>
      <c r="B181" s="491"/>
      <c r="C181" s="99"/>
      <c r="D181" s="99"/>
      <c r="E181" s="99"/>
      <c r="F181" s="99"/>
      <c r="G181" s="188"/>
      <c r="H181" s="188"/>
      <c r="I181" s="188"/>
      <c r="J181" s="188"/>
      <c r="K181" s="99"/>
      <c r="L181" s="188"/>
      <c r="M181" s="188"/>
      <c r="N181" s="188"/>
      <c r="O181" s="188"/>
      <c r="P181" s="99"/>
      <c r="Q181" s="188"/>
      <c r="R181" s="188"/>
      <c r="S181" s="188"/>
      <c r="T181" s="188"/>
      <c r="U181" s="99"/>
      <c r="V181" s="188"/>
      <c r="W181" s="188"/>
      <c r="X181" s="188"/>
      <c r="Y181" s="188"/>
      <c r="Z181" s="99"/>
      <c r="AA181" s="83">
        <f>+AA190*1000/(AVERAGE(AA148,Z148))/3</f>
        <v>9.1439987353709125</v>
      </c>
      <c r="AB181" s="83">
        <f>+AB190*1000/(AVERAGE(AB148,AA148))/3</f>
        <v>9.2062764888477542</v>
      </c>
      <c r="AC181" s="83">
        <f>+AC190*1000/(AVERAGE(AC148,AB148))/3</f>
        <v>9.4377988663393406</v>
      </c>
      <c r="AD181" s="83">
        <f>+AD190*1000/(AVERAGE(AD148,AC148))/3</f>
        <v>9.8776337303824064</v>
      </c>
      <c r="AE181" s="18">
        <f>AVERAGE(AA181,AB181,AC181,AD181)</f>
        <v>9.416426955235103</v>
      </c>
      <c r="AF181" s="83">
        <f>+AF190*1000/(AVERAGE(AF148,AE148))/3</f>
        <v>10.461534216816384</v>
      </c>
      <c r="AG181" s="83">
        <f>+AG190*1000/(AVERAGE(AG148,AF148))/3</f>
        <v>10.453640060950876</v>
      </c>
      <c r="AH181" s="83">
        <f>+AH190*1000/(AVERAGE(AH148,AG148))/3</f>
        <v>10.232771794308201</v>
      </c>
      <c r="AI181" s="83">
        <f>+AI190*1000/(AVERAGE(AI148,AH148))/3</f>
        <v>10.13959455801484</v>
      </c>
      <c r="AJ181" s="18">
        <f>AVERAGE(AF181,AG181,AH181,AI181)</f>
        <v>10.321885157522576</v>
      </c>
      <c r="AK181" s="83">
        <f>+AK190*1000/(AVERAGE(AK148,AJ148))/3</f>
        <v>10.274129246175809</v>
      </c>
      <c r="AL181" s="83">
        <f>+AL190*1000/(AVERAGE(AL148,AK148))/3</f>
        <v>10.755687220881528</v>
      </c>
      <c r="AM181" s="83">
        <f>+AM190*1000/(AVERAGE(AM148,AL148))/3</f>
        <v>11.128524838440422</v>
      </c>
      <c r="AN181" s="83">
        <f>+AN190*1000/(AVERAGE(AN148,AM148))/3</f>
        <v>11.060405296884475</v>
      </c>
      <c r="AO181" s="18">
        <f>AVERAGE(AK181,AL181,AM181,AN181)</f>
        <v>10.804686650595558</v>
      </c>
      <c r="AP181" s="83">
        <f>+AP190*1000/(AVERAGE(AP148,AO148))/3</f>
        <v>10.86522492041629</v>
      </c>
      <c r="AQ181" s="83">
        <f>+AQ190*1000/(AVERAGE(AQ148,AP148))/3</f>
        <v>10.797705180639859</v>
      </c>
      <c r="AR181" s="83">
        <f>+AR190*1000/(AVERAGE(AR148,AQ148))/3</f>
        <v>10.953939468897032</v>
      </c>
      <c r="AS181" s="83">
        <f>+AS190*1000/(AVERAGE(AS148,AR148))/3</f>
        <v>11.015651406420039</v>
      </c>
      <c r="AT181" s="18">
        <f>AVERAGE(AP181,AQ181,AR181,AS181)</f>
        <v>10.908130244093305</v>
      </c>
      <c r="AU181" s="83">
        <f>+AU190*1000/(AVERAGE(AU148,AT148))/3</f>
        <v>11.530387241815829</v>
      </c>
      <c r="AV181" s="83">
        <f>+AV190*1000/(AVERAGE(AV148,AU148))/3</f>
        <v>11.66850999274665</v>
      </c>
      <c r="AW181" s="641">
        <f>+AW190*1000/(AVERAGE(AW148,AV148))/3</f>
        <v>11.731690412378207</v>
      </c>
      <c r="AX181" s="83">
        <f>+AX190*1000/(AVERAGE(AX148,AW148))/3</f>
        <v>11.767735915639044</v>
      </c>
      <c r="AY181" s="18">
        <f>AVERAGE(AU181,AV181,AW181,AX181)</f>
        <v>11.674580890644933</v>
      </c>
      <c r="AZ181" s="83">
        <f>+AZ190*1000/(AVERAGE(AZ148,AY148))/3</f>
        <v>11.847147009512078</v>
      </c>
      <c r="BA181" s="83">
        <f>+BA190*1000/(AVERAGE(BA148,AZ148))/3</f>
        <v>11.940515724709622</v>
      </c>
      <c r="BB181" s="83">
        <f>+BB190*1000/(AVERAGE(BB148,BA148))/3</f>
        <v>12.033551458528736</v>
      </c>
      <c r="BC181" s="83">
        <f>+BC190*1000/(AVERAGE(BC148,BB148))/3</f>
        <v>12.124179159273787</v>
      </c>
      <c r="BD181" s="18">
        <f>AVERAGE(AZ181,BA181,BB181,BC181)</f>
        <v>11.986348338006055</v>
      </c>
      <c r="BE181" s="18">
        <f>+BE190*1000/(AVERAGE(BE148,BD148))/12</f>
        <v>12.274652839038302</v>
      </c>
      <c r="BF181" s="18">
        <f>+BF190*1000/(AVERAGE(BF148,BE148))/12</f>
        <v>12.561790190307121</v>
      </c>
      <c r="BG181" s="18">
        <f>+BG190*1000/(AVERAGE(BG148,BF148))/12</f>
        <v>12.853746276157066</v>
      </c>
      <c r="BH181" s="83"/>
    </row>
    <row r="182" spans="1:60" s="57" customFormat="1" x14ac:dyDescent="0.25">
      <c r="A182" s="486"/>
      <c r="B182" s="487"/>
      <c r="C182" s="400"/>
      <c r="D182" s="400"/>
      <c r="E182" s="400"/>
      <c r="F182" s="400"/>
      <c r="G182" s="399"/>
      <c r="H182" s="399"/>
      <c r="I182" s="399"/>
      <c r="J182" s="399"/>
      <c r="K182" s="400"/>
      <c r="L182" s="399"/>
      <c r="M182" s="399"/>
      <c r="N182" s="399"/>
      <c r="O182" s="399"/>
      <c r="P182" s="400"/>
      <c r="Q182" s="399"/>
      <c r="R182" s="399"/>
      <c r="S182" s="399"/>
      <c r="T182" s="399"/>
      <c r="U182" s="400"/>
      <c r="V182" s="399"/>
      <c r="W182" s="399"/>
      <c r="X182" s="399"/>
      <c r="Y182" s="399"/>
      <c r="Z182" s="400"/>
      <c r="AA182" s="399"/>
      <c r="AB182" s="399"/>
      <c r="AC182" s="399"/>
      <c r="AD182" s="399"/>
      <c r="AE182" s="400"/>
      <c r="AF182" s="399"/>
      <c r="AG182" s="399"/>
      <c r="AH182" s="399"/>
      <c r="AI182" s="399"/>
      <c r="AJ182" s="400"/>
      <c r="AK182" s="399"/>
      <c r="AL182" s="399"/>
      <c r="AM182" s="399"/>
      <c r="AN182" s="399"/>
      <c r="AO182" s="400"/>
      <c r="AP182" s="399"/>
      <c r="AQ182" s="399"/>
      <c r="AR182" s="399"/>
      <c r="AS182" s="399"/>
      <c r="AT182" s="400"/>
      <c r="AU182" s="399"/>
      <c r="AV182" s="399"/>
      <c r="AW182" s="574"/>
      <c r="AX182" s="399"/>
      <c r="AY182" s="400"/>
      <c r="AZ182" s="399"/>
      <c r="BA182" s="399"/>
      <c r="BB182" s="399"/>
      <c r="BC182" s="399"/>
      <c r="BD182" s="400"/>
      <c r="BE182" s="400"/>
      <c r="BF182" s="400"/>
      <c r="BG182" s="400"/>
      <c r="BH182" s="89"/>
    </row>
    <row r="183" spans="1:60" s="57" customFormat="1" hidden="1" outlineLevel="1" x14ac:dyDescent="0.25">
      <c r="A183" s="422" t="str">
        <f>'Supplemental Data'!A28</f>
        <v>International Streaming Revenue, mm</v>
      </c>
      <c r="B183" s="484"/>
      <c r="C183" s="803"/>
      <c r="D183" s="803"/>
      <c r="E183" s="803"/>
      <c r="F183" s="803">
        <f>'Supplemental Data'!F28</f>
        <v>287.54199999999997</v>
      </c>
      <c r="G183" s="406">
        <f>'Supplemental Data'!G28</f>
        <v>142.01900000000001</v>
      </c>
      <c r="H183" s="406">
        <f>'Supplemental Data'!H28</f>
        <v>165.90199999999999</v>
      </c>
      <c r="I183" s="406">
        <f>'Supplemental Data'!I28</f>
        <v>183.05099999999999</v>
      </c>
      <c r="J183" s="406">
        <f>'Supplemental Data'!J28</f>
        <v>221.41799999999995</v>
      </c>
      <c r="K183" s="803">
        <f>'Supplemental Data'!K28</f>
        <v>712.39</v>
      </c>
      <c r="L183" s="406">
        <f>'Supplemental Data'!L28</f>
        <v>267.11799999999999</v>
      </c>
      <c r="M183" s="406">
        <f>'Supplemental Data'!M28</f>
        <v>307.46100000000001</v>
      </c>
      <c r="N183" s="406">
        <f>'Supplemental Data'!N28</f>
        <v>345.685</v>
      </c>
      <c r="O183" s="406">
        <f>'Supplemental Data'!O28</f>
        <v>387.79699999999997</v>
      </c>
      <c r="P183" s="803">
        <f>'Supplemental Data'!P28</f>
        <v>1308.0609999999999</v>
      </c>
      <c r="Q183" s="406">
        <f>'Supplemental Data'!Q28</f>
        <v>415.39699999999999</v>
      </c>
      <c r="R183" s="406">
        <f>'Supplemental Data'!R28</f>
        <v>454.76299999999998</v>
      </c>
      <c r="S183" s="406">
        <f>'Supplemental Data'!S28</f>
        <v>516.87</v>
      </c>
      <c r="T183" s="406">
        <f>'Supplemental Data'!T28</f>
        <v>566.40500000000009</v>
      </c>
      <c r="U183" s="803">
        <f>'Supplemental Data'!U28</f>
        <v>1953.4349999999999</v>
      </c>
      <c r="V183" s="406">
        <f>'Supplemental Data'!V28</f>
        <v>651.74800000000005</v>
      </c>
      <c r="W183" s="406">
        <f>'Supplemental Data'!W28</f>
        <v>758.20100000000002</v>
      </c>
      <c r="X183" s="406">
        <f>'Supplemental Data'!X28</f>
        <v>853.48</v>
      </c>
      <c r="Y183" s="406">
        <f>'Supplemental Data'!Y28</f>
        <v>947.66599999999971</v>
      </c>
      <c r="Z183" s="803">
        <f>'Supplemental Data'!Z28</f>
        <v>3211.0949999999998</v>
      </c>
      <c r="AA183" s="406"/>
      <c r="AB183" s="406"/>
      <c r="AC183" s="406"/>
      <c r="AD183" s="406"/>
      <c r="AE183" s="803"/>
      <c r="AF183" s="406"/>
      <c r="AG183" s="406"/>
      <c r="AH183" s="406"/>
      <c r="AI183" s="406"/>
      <c r="AJ183" s="803"/>
      <c r="AK183" s="406"/>
      <c r="AL183" s="406"/>
      <c r="AM183" s="406"/>
      <c r="AN183" s="406"/>
      <c r="AO183" s="803"/>
      <c r="AP183" s="406"/>
      <c r="AQ183" s="406"/>
      <c r="AR183" s="406"/>
      <c r="AS183" s="406"/>
      <c r="AT183" s="803"/>
      <c r="AU183" s="406"/>
      <c r="AV183" s="406"/>
      <c r="AW183" s="572"/>
      <c r="AX183" s="406"/>
      <c r="AY183" s="803"/>
      <c r="AZ183" s="406"/>
      <c r="BA183" s="406"/>
      <c r="BB183" s="406"/>
      <c r="BC183" s="406"/>
      <c r="BD183" s="803"/>
      <c r="BE183" s="803"/>
      <c r="BF183" s="803"/>
      <c r="BG183" s="803"/>
      <c r="BH183" s="280"/>
    </row>
    <row r="184" spans="1:60" s="57" customFormat="1" hidden="1" outlineLevel="1" x14ac:dyDescent="0.25">
      <c r="A184" s="693" t="str">
        <f>A67</f>
        <v>United States streaming revenue, mm</v>
      </c>
      <c r="B184" s="484"/>
      <c r="C184" s="803"/>
      <c r="D184" s="803"/>
      <c r="E184" s="803"/>
      <c r="F184" s="803">
        <f t="shared" ref="F184:AO184" si="118">F67</f>
        <v>2184.8679999999999</v>
      </c>
      <c r="G184" s="406">
        <f t="shared" si="118"/>
        <v>638.649</v>
      </c>
      <c r="H184" s="406">
        <f t="shared" si="118"/>
        <v>671.08900000000006</v>
      </c>
      <c r="I184" s="406">
        <f t="shared" si="118"/>
        <v>701.08299999999997</v>
      </c>
      <c r="J184" s="406">
        <f t="shared" si="118"/>
        <v>740.55399999999997</v>
      </c>
      <c r="K184" s="803">
        <f t="shared" si="118"/>
        <v>2751.375</v>
      </c>
      <c r="L184" s="406">
        <f t="shared" si="118"/>
        <v>798.61699999999996</v>
      </c>
      <c r="M184" s="406">
        <f t="shared" si="118"/>
        <v>838.22500000000002</v>
      </c>
      <c r="N184" s="406">
        <f t="shared" si="118"/>
        <v>877.15</v>
      </c>
      <c r="O184" s="406">
        <f t="shared" si="118"/>
        <v>917.44200000000023</v>
      </c>
      <c r="P184" s="803">
        <f t="shared" si="118"/>
        <v>3431.4340000000002</v>
      </c>
      <c r="Q184" s="406">
        <f t="shared" si="118"/>
        <v>984.53200000000004</v>
      </c>
      <c r="R184" s="406">
        <f t="shared" si="118"/>
        <v>1025.913</v>
      </c>
      <c r="S184" s="406">
        <f t="shared" si="118"/>
        <v>1063.961</v>
      </c>
      <c r="T184" s="406">
        <f t="shared" si="118"/>
        <v>1105.9329999999998</v>
      </c>
      <c r="U184" s="803">
        <f t="shared" si="118"/>
        <v>4180.3389999999999</v>
      </c>
      <c r="V184" s="406">
        <f t="shared" si="118"/>
        <v>1161.241</v>
      </c>
      <c r="W184" s="406">
        <f t="shared" si="118"/>
        <v>1208.271</v>
      </c>
      <c r="X184" s="406">
        <f t="shared" si="118"/>
        <v>1304.3330000000001</v>
      </c>
      <c r="Y184" s="406">
        <f t="shared" si="118"/>
        <v>1403.462</v>
      </c>
      <c r="Z184" s="803">
        <f t="shared" si="118"/>
        <v>5077.3069999999998</v>
      </c>
      <c r="AA184" s="406">
        <f t="shared" si="118"/>
        <v>1470.0419999999999</v>
      </c>
      <c r="AB184" s="406">
        <f t="shared" si="118"/>
        <v>1505.499</v>
      </c>
      <c r="AC184" s="406">
        <f t="shared" si="118"/>
        <v>1547.21</v>
      </c>
      <c r="AD184" s="406">
        <f t="shared" si="118"/>
        <v>1630.2740000000003</v>
      </c>
      <c r="AE184" s="803">
        <f t="shared" si="118"/>
        <v>6153.0249999999996</v>
      </c>
      <c r="AF184" s="406">
        <f t="shared" si="118"/>
        <v>1820.019</v>
      </c>
      <c r="AG184" s="406">
        <f t="shared" si="118"/>
        <v>1893.222</v>
      </c>
      <c r="AH184" s="406">
        <f t="shared" si="118"/>
        <v>1937.3140000000001</v>
      </c>
      <c r="AI184" s="406">
        <f t="shared" si="118"/>
        <v>1996.0919999999999</v>
      </c>
      <c r="AJ184" s="803">
        <f t="shared" si="118"/>
        <v>7646.6469999999999</v>
      </c>
      <c r="AK184" s="406">
        <f t="shared" si="118"/>
        <v>2073.5549999999998</v>
      </c>
      <c r="AL184" s="406">
        <f t="shared" si="118"/>
        <v>2299.1889999999999</v>
      </c>
      <c r="AM184" s="406">
        <f t="shared" si="118"/>
        <v>2412.598</v>
      </c>
      <c r="AN184" s="406">
        <f t="shared" si="118"/>
        <v>2457.6629999999986</v>
      </c>
      <c r="AO184" s="803">
        <f t="shared" si="118"/>
        <v>9243.0049999999992</v>
      </c>
      <c r="AP184" s="406"/>
      <c r="AQ184" s="406"/>
      <c r="AR184" s="406"/>
      <c r="AS184" s="406"/>
      <c r="AT184" s="803"/>
      <c r="AU184" s="406"/>
      <c r="AV184" s="406"/>
      <c r="AW184" s="572"/>
      <c r="AX184" s="406"/>
      <c r="AY184" s="803"/>
      <c r="AZ184" s="406"/>
      <c r="BA184" s="406"/>
      <c r="BB184" s="406"/>
      <c r="BC184" s="406"/>
      <c r="BD184" s="803"/>
      <c r="BE184" s="803"/>
      <c r="BF184" s="803"/>
      <c r="BG184" s="803"/>
      <c r="BH184" s="280"/>
    </row>
    <row r="185" spans="1:60" s="57" customFormat="1" hidden="1" outlineLevel="1" x14ac:dyDescent="0.25">
      <c r="A185" s="694" t="str">
        <f>A69</f>
        <v>Calculated Canada streaming revenue, mm</v>
      </c>
      <c r="B185" s="488"/>
      <c r="C185" s="548"/>
      <c r="D185" s="548"/>
      <c r="E185" s="548"/>
      <c r="F185" s="548"/>
      <c r="G185" s="489"/>
      <c r="H185" s="489"/>
      <c r="I185" s="489"/>
      <c r="J185" s="489"/>
      <c r="K185" s="548"/>
      <c r="L185" s="489"/>
      <c r="M185" s="489"/>
      <c r="N185" s="489"/>
      <c r="O185" s="489"/>
      <c r="P185" s="548"/>
      <c r="Q185" s="489"/>
      <c r="R185" s="489"/>
      <c r="S185" s="489"/>
      <c r="T185" s="489"/>
      <c r="U185" s="548"/>
      <c r="V185" s="489"/>
      <c r="W185" s="489"/>
      <c r="X185" s="489"/>
      <c r="Y185" s="489"/>
      <c r="Z185" s="548"/>
      <c r="AA185" s="489">
        <f t="shared" ref="AA185:AO185" si="119">AA69</f>
        <v>116.125</v>
      </c>
      <c r="AB185" s="489">
        <f t="shared" si="119"/>
        <v>118.89799999999991</v>
      </c>
      <c r="AC185" s="489">
        <f t="shared" si="119"/>
        <v>127.09799999999996</v>
      </c>
      <c r="AD185" s="489">
        <f t="shared" si="119"/>
        <v>145.71299999999974</v>
      </c>
      <c r="AE185" s="548">
        <f t="shared" si="119"/>
        <v>507.83399999999983</v>
      </c>
      <c r="AF185" s="489">
        <f t="shared" si="119"/>
        <v>156.13799999999992</v>
      </c>
      <c r="AG185" s="489">
        <f t="shared" si="119"/>
        <v>156.32399999999984</v>
      </c>
      <c r="AH185" s="489">
        <f t="shared" si="119"/>
        <v>157.53599999999983</v>
      </c>
      <c r="AI185" s="489">
        <f t="shared" si="119"/>
        <v>164.88699999999994</v>
      </c>
      <c r="AJ185" s="548">
        <f t="shared" si="119"/>
        <v>634.88499999999931</v>
      </c>
      <c r="AK185" s="489">
        <f t="shared" si="119"/>
        <v>183.29600000000028</v>
      </c>
      <c r="AL185" s="489">
        <f t="shared" si="119"/>
        <v>202.01000000000022</v>
      </c>
      <c r="AM185" s="489">
        <f t="shared" si="119"/>
        <v>208.65200000000004</v>
      </c>
      <c r="AN185" s="489">
        <f t="shared" si="119"/>
        <v>214.24500000000126</v>
      </c>
      <c r="AO185" s="548">
        <f t="shared" si="119"/>
        <v>808.20300000000134</v>
      </c>
      <c r="AP185" s="489"/>
      <c r="AQ185" s="489"/>
      <c r="AR185" s="489"/>
      <c r="AS185" s="489"/>
      <c r="AT185" s="548"/>
      <c r="AU185" s="489"/>
      <c r="AV185" s="489"/>
      <c r="AW185" s="575"/>
      <c r="AX185" s="489"/>
      <c r="AY185" s="548"/>
      <c r="AZ185" s="489"/>
      <c r="BA185" s="489"/>
      <c r="BB185" s="489"/>
      <c r="BC185" s="489"/>
      <c r="BD185" s="548"/>
      <c r="BE185" s="548"/>
      <c r="BF185" s="548"/>
      <c r="BG185" s="548"/>
      <c r="BH185" s="280"/>
    </row>
    <row r="186" spans="1:60" s="57" customFormat="1" collapsed="1" x14ac:dyDescent="0.25">
      <c r="A186" s="422" t="str">
        <f>A71</f>
        <v>United States &amp; Canada Streaming Revenue, mm</v>
      </c>
      <c r="B186" s="484"/>
      <c r="C186" s="803"/>
      <c r="D186" s="803"/>
      <c r="E186" s="803"/>
      <c r="F186" s="803"/>
      <c r="G186" s="406"/>
      <c r="H186" s="406"/>
      <c r="I186" s="406"/>
      <c r="J186" s="406"/>
      <c r="K186" s="803"/>
      <c r="L186" s="406"/>
      <c r="M186" s="406"/>
      <c r="N186" s="406"/>
      <c r="O186" s="406"/>
      <c r="P186" s="803"/>
      <c r="Q186" s="406"/>
      <c r="R186" s="406"/>
      <c r="S186" s="406"/>
      <c r="T186" s="406"/>
      <c r="U186" s="803"/>
      <c r="V186" s="406"/>
      <c r="W186" s="406"/>
      <c r="X186" s="406"/>
      <c r="Y186" s="406"/>
      <c r="Z186" s="803"/>
      <c r="AA186" s="406">
        <f t="shared" ref="AA186:BG186" si="120">AA71</f>
        <v>1586.1669999999999</v>
      </c>
      <c r="AB186" s="406">
        <f t="shared" si="120"/>
        <v>1624.3969999999999</v>
      </c>
      <c r="AC186" s="406">
        <f t="shared" si="120"/>
        <v>1674.308</v>
      </c>
      <c r="AD186" s="406">
        <f t="shared" si="120"/>
        <v>1775.9870000000001</v>
      </c>
      <c r="AE186" s="803">
        <f t="shared" si="120"/>
        <v>6660.8589999999995</v>
      </c>
      <c r="AF186" s="406">
        <f t="shared" si="120"/>
        <v>1976.1569999999999</v>
      </c>
      <c r="AG186" s="406">
        <f t="shared" si="120"/>
        <v>2049.5459999999998</v>
      </c>
      <c r="AH186" s="406">
        <f t="shared" si="120"/>
        <v>2094.85</v>
      </c>
      <c r="AI186" s="406">
        <f t="shared" si="120"/>
        <v>2160.9789999999998</v>
      </c>
      <c r="AJ186" s="803">
        <f t="shared" si="120"/>
        <v>8281.5319999999992</v>
      </c>
      <c r="AK186" s="406">
        <f t="shared" si="120"/>
        <v>2256.8510000000001</v>
      </c>
      <c r="AL186" s="406">
        <f t="shared" si="120"/>
        <v>2501.1990000000001</v>
      </c>
      <c r="AM186" s="406">
        <f t="shared" si="120"/>
        <v>2621.25</v>
      </c>
      <c r="AN186" s="406">
        <f t="shared" si="120"/>
        <v>2671.9079999999999</v>
      </c>
      <c r="AO186" s="803">
        <f t="shared" si="120"/>
        <v>10051.208000000001</v>
      </c>
      <c r="AP186" s="406">
        <f t="shared" si="120"/>
        <v>2702.7759999999998</v>
      </c>
      <c r="AQ186" s="406">
        <f t="shared" si="120"/>
        <v>2839.67</v>
      </c>
      <c r="AR186" s="406">
        <f t="shared" si="120"/>
        <v>2933.4450000000002</v>
      </c>
      <c r="AS186" s="406">
        <f t="shared" si="120"/>
        <v>2979.505000000001</v>
      </c>
      <c r="AT186" s="803">
        <f t="shared" si="120"/>
        <v>11455.396000000001</v>
      </c>
      <c r="AU186" s="406">
        <f t="shared" si="120"/>
        <v>3170.9720000000002</v>
      </c>
      <c r="AV186" s="406">
        <f t="shared" si="120"/>
        <v>3234.643</v>
      </c>
      <c r="AW186" s="572">
        <f t="shared" si="120"/>
        <v>3257.6970000000001</v>
      </c>
      <c r="AX186" s="406">
        <f t="shared" si="120"/>
        <v>3309.0802152480001</v>
      </c>
      <c r="AY186" s="803">
        <f t="shared" si="120"/>
        <v>12972.392215248001</v>
      </c>
      <c r="AZ186" s="406">
        <f t="shared" si="120"/>
        <v>3375.5927275744843</v>
      </c>
      <c r="BA186" s="406">
        <f t="shared" si="120"/>
        <v>3443.442141398732</v>
      </c>
      <c r="BB186" s="406">
        <f t="shared" si="120"/>
        <v>3512.6553284408469</v>
      </c>
      <c r="BC186" s="406">
        <f t="shared" si="120"/>
        <v>3583.2597005425077</v>
      </c>
      <c r="BD186" s="803">
        <f t="shared" si="120"/>
        <v>13914.949897956572</v>
      </c>
      <c r="BE186" s="803">
        <f t="shared" si="120"/>
        <v>14836.848734101299</v>
      </c>
      <c r="BF186" s="803">
        <f t="shared" si="120"/>
        <v>15740.412822008069</v>
      </c>
      <c r="BG186" s="803">
        <f t="shared" si="120"/>
        <v>16699.003962868359</v>
      </c>
      <c r="BH186" s="280"/>
    </row>
    <row r="187" spans="1:60" s="57" customFormat="1" x14ac:dyDescent="0.25">
      <c r="A187" s="422" t="str">
        <f>A91</f>
        <v>EMEA Streaming Revenue, mm</v>
      </c>
      <c r="B187" s="484"/>
      <c r="C187" s="803"/>
      <c r="D187" s="803"/>
      <c r="E187" s="803"/>
      <c r="F187" s="803"/>
      <c r="G187" s="406"/>
      <c r="H187" s="406"/>
      <c r="I187" s="406"/>
      <c r="J187" s="406"/>
      <c r="K187" s="803"/>
      <c r="L187" s="406"/>
      <c r="M187" s="406"/>
      <c r="N187" s="406"/>
      <c r="O187" s="406"/>
      <c r="P187" s="803"/>
      <c r="Q187" s="406"/>
      <c r="R187" s="406"/>
      <c r="S187" s="406"/>
      <c r="T187" s="406"/>
      <c r="U187" s="803"/>
      <c r="V187" s="406"/>
      <c r="W187" s="406"/>
      <c r="X187" s="406"/>
      <c r="Y187" s="406"/>
      <c r="Z187" s="803"/>
      <c r="AA187" s="406">
        <f t="shared" ref="AA187:BG187" si="121">AA91</f>
        <v>482.28199999999998</v>
      </c>
      <c r="AB187" s="406">
        <f t="shared" si="121"/>
        <v>533.09799999999996</v>
      </c>
      <c r="AC187" s="406">
        <f t="shared" si="121"/>
        <v>614.70699999999999</v>
      </c>
      <c r="AD187" s="406">
        <f t="shared" si="121"/>
        <v>732.726</v>
      </c>
      <c r="AE187" s="803">
        <f t="shared" si="121"/>
        <v>2362.8130000000001</v>
      </c>
      <c r="AF187" s="406">
        <f t="shared" si="121"/>
        <v>886.649</v>
      </c>
      <c r="AG187" s="406">
        <f t="shared" si="121"/>
        <v>975.49699999999996</v>
      </c>
      <c r="AH187" s="406">
        <f t="shared" si="121"/>
        <v>1004.749</v>
      </c>
      <c r="AI187" s="406">
        <f t="shared" si="121"/>
        <v>1096.8119999999999</v>
      </c>
      <c r="AJ187" s="803">
        <f t="shared" si="121"/>
        <v>3963.7069999999999</v>
      </c>
      <c r="AK187" s="406">
        <f t="shared" si="121"/>
        <v>1233.3789999999999</v>
      </c>
      <c r="AL187" s="406">
        <f t="shared" si="121"/>
        <v>1319.087</v>
      </c>
      <c r="AM187" s="406">
        <f t="shared" si="121"/>
        <v>1428.04</v>
      </c>
      <c r="AN187" s="406">
        <f t="shared" si="121"/>
        <v>1562.5609999999999</v>
      </c>
      <c r="AO187" s="803">
        <f t="shared" si="121"/>
        <v>5543.067</v>
      </c>
      <c r="AP187" s="406">
        <f t="shared" si="121"/>
        <v>1723.4739999999999</v>
      </c>
      <c r="AQ187" s="406">
        <f t="shared" si="121"/>
        <v>1892.537</v>
      </c>
      <c r="AR187" s="406">
        <f t="shared" si="121"/>
        <v>2019.0830000000001</v>
      </c>
      <c r="AS187" s="406">
        <f t="shared" si="121"/>
        <v>2137.1580000000004</v>
      </c>
      <c r="AT187" s="803">
        <f t="shared" si="121"/>
        <v>7772.2520000000004</v>
      </c>
      <c r="AU187" s="406">
        <f t="shared" si="121"/>
        <v>2343.674</v>
      </c>
      <c r="AV187" s="406">
        <f t="shared" si="121"/>
        <v>2400.48</v>
      </c>
      <c r="AW187" s="572">
        <f t="shared" si="121"/>
        <v>2432.239</v>
      </c>
      <c r="AX187" s="406">
        <f t="shared" si="121"/>
        <v>2525.8207724999997</v>
      </c>
      <c r="AY187" s="803">
        <f t="shared" si="121"/>
        <v>9702.2137724999993</v>
      </c>
      <c r="AZ187" s="406">
        <f t="shared" si="121"/>
        <v>2627.1111380669995</v>
      </c>
      <c r="BA187" s="406">
        <f t="shared" si="121"/>
        <v>2706.4498944366228</v>
      </c>
      <c r="BB187" s="406">
        <f t="shared" si="121"/>
        <v>2788.1846812486096</v>
      </c>
      <c r="BC187" s="406">
        <f t="shared" si="121"/>
        <v>2872.3878586223168</v>
      </c>
      <c r="BD187" s="803">
        <f t="shared" si="121"/>
        <v>10994.133572374549</v>
      </c>
      <c r="BE187" s="803">
        <f t="shared" si="121"/>
        <v>12781.107527142145</v>
      </c>
      <c r="BF187" s="803">
        <f t="shared" si="121"/>
        <v>15286.204602462005</v>
      </c>
      <c r="BG187" s="803">
        <f t="shared" si="121"/>
        <v>18282.300704544559</v>
      </c>
      <c r="BH187" s="280"/>
    </row>
    <row r="188" spans="1:60" s="57" customFormat="1" x14ac:dyDescent="0.25">
      <c r="A188" s="422" t="str">
        <f>A111</f>
        <v>Latin America Streaming Revenue, mm</v>
      </c>
      <c r="B188" s="484"/>
      <c r="C188" s="803"/>
      <c r="D188" s="803"/>
      <c r="E188" s="803"/>
      <c r="F188" s="803"/>
      <c r="G188" s="406"/>
      <c r="H188" s="406"/>
      <c r="I188" s="406"/>
      <c r="J188" s="406"/>
      <c r="K188" s="803"/>
      <c r="L188" s="406"/>
      <c r="M188" s="406"/>
      <c r="N188" s="406"/>
      <c r="O188" s="406"/>
      <c r="P188" s="803"/>
      <c r="Q188" s="406"/>
      <c r="R188" s="406"/>
      <c r="S188" s="406"/>
      <c r="T188" s="406"/>
      <c r="U188" s="803"/>
      <c r="V188" s="406"/>
      <c r="W188" s="406"/>
      <c r="X188" s="406"/>
      <c r="Y188" s="406"/>
      <c r="Z188" s="803"/>
      <c r="AA188" s="406">
        <f t="shared" ref="AA188:BG188" si="122">AA111</f>
        <v>331.45299999999997</v>
      </c>
      <c r="AB188" s="406">
        <f t="shared" si="122"/>
        <v>381.459</v>
      </c>
      <c r="AC188" s="406">
        <f t="shared" si="122"/>
        <v>434.637</v>
      </c>
      <c r="AD188" s="406">
        <f t="shared" si="122"/>
        <v>495.06700000000001</v>
      </c>
      <c r="AE188" s="803">
        <f t="shared" si="122"/>
        <v>1642.616</v>
      </c>
      <c r="AF188" s="406">
        <f t="shared" si="122"/>
        <v>540.18200000000002</v>
      </c>
      <c r="AG188" s="406">
        <f t="shared" si="122"/>
        <v>568.07100000000003</v>
      </c>
      <c r="AH188" s="406">
        <f t="shared" si="122"/>
        <v>562.30700000000002</v>
      </c>
      <c r="AI188" s="406">
        <f t="shared" si="122"/>
        <v>567.13699999999994</v>
      </c>
      <c r="AJ188" s="803">
        <f t="shared" si="122"/>
        <v>2237.6970000000001</v>
      </c>
      <c r="AK188" s="406">
        <f t="shared" si="122"/>
        <v>630.47199999999998</v>
      </c>
      <c r="AL188" s="406">
        <f t="shared" si="122"/>
        <v>677.13599999999997</v>
      </c>
      <c r="AM188" s="406">
        <f t="shared" si="122"/>
        <v>741.43399999999997</v>
      </c>
      <c r="AN188" s="406">
        <f t="shared" si="122"/>
        <v>746.39200000000005</v>
      </c>
      <c r="AO188" s="803">
        <f t="shared" si="122"/>
        <v>2795.4340000000002</v>
      </c>
      <c r="AP188" s="406">
        <f t="shared" si="122"/>
        <v>793.45299999999997</v>
      </c>
      <c r="AQ188" s="406">
        <f t="shared" si="122"/>
        <v>785.36800000000005</v>
      </c>
      <c r="AR188" s="406">
        <f t="shared" si="122"/>
        <v>789.38400000000001</v>
      </c>
      <c r="AS188" s="406">
        <f t="shared" si="122"/>
        <v>788.52199999999993</v>
      </c>
      <c r="AT188" s="803">
        <f t="shared" si="122"/>
        <v>3156.7269999999999</v>
      </c>
      <c r="AU188" s="406">
        <f t="shared" si="122"/>
        <v>836.64700000000005</v>
      </c>
      <c r="AV188" s="406">
        <f t="shared" si="122"/>
        <v>860.88199999999995</v>
      </c>
      <c r="AW188" s="572">
        <f t="shared" si="122"/>
        <v>915.29700000000003</v>
      </c>
      <c r="AX188" s="406">
        <f t="shared" si="122"/>
        <v>942.4583665560001</v>
      </c>
      <c r="AY188" s="803">
        <f t="shared" si="122"/>
        <v>3555.2843665560004</v>
      </c>
      <c r="AZ188" s="406">
        <f t="shared" si="122"/>
        <v>970.77993686881541</v>
      </c>
      <c r="BA188" s="406">
        <f t="shared" si="122"/>
        <v>990.29261359987879</v>
      </c>
      <c r="BB188" s="406">
        <f t="shared" si="122"/>
        <v>1010.1974951332365</v>
      </c>
      <c r="BC188" s="406">
        <f t="shared" si="122"/>
        <v>1030.5024647854145</v>
      </c>
      <c r="BD188" s="803">
        <f t="shared" si="122"/>
        <v>4001.7725103873454</v>
      </c>
      <c r="BE188" s="803">
        <f t="shared" si="122"/>
        <v>4414.0340133040418</v>
      </c>
      <c r="BF188" s="803">
        <f t="shared" si="122"/>
        <v>4912.8198568073994</v>
      </c>
      <c r="BG188" s="803">
        <f t="shared" si="122"/>
        <v>5467.9685006266363</v>
      </c>
      <c r="BH188" s="280"/>
    </row>
    <row r="189" spans="1:60" s="57" customFormat="1" x14ac:dyDescent="0.25">
      <c r="A189" s="684" t="str">
        <f>A131</f>
        <v>Asia Pacific Streaming Revenue, mm</v>
      </c>
      <c r="B189" s="488"/>
      <c r="C189" s="548"/>
      <c r="D189" s="548"/>
      <c r="E189" s="548"/>
      <c r="F189" s="548"/>
      <c r="G189" s="489"/>
      <c r="H189" s="489"/>
      <c r="I189" s="489"/>
      <c r="J189" s="489"/>
      <c r="K189" s="548"/>
      <c r="L189" s="489"/>
      <c r="M189" s="489"/>
      <c r="N189" s="489"/>
      <c r="O189" s="489"/>
      <c r="P189" s="548"/>
      <c r="Q189" s="489"/>
      <c r="R189" s="489"/>
      <c r="S189" s="489"/>
      <c r="T189" s="489"/>
      <c r="U189" s="548"/>
      <c r="V189" s="489"/>
      <c r="W189" s="489"/>
      <c r="X189" s="489"/>
      <c r="Y189" s="489"/>
      <c r="Z189" s="548"/>
      <c r="AA189" s="489">
        <f t="shared" ref="AA189:BG189" si="123">AA131</f>
        <v>116.339</v>
      </c>
      <c r="AB189" s="489">
        <f t="shared" si="123"/>
        <v>131.773</v>
      </c>
      <c r="AC189" s="489">
        <f t="shared" si="123"/>
        <v>150.99299999999999</v>
      </c>
      <c r="AD189" s="489">
        <f t="shared" si="123"/>
        <v>176.82300000000001</v>
      </c>
      <c r="AE189" s="548">
        <f t="shared" si="123"/>
        <v>575.928</v>
      </c>
      <c r="AF189" s="489">
        <f t="shared" si="123"/>
        <v>199.11699999999999</v>
      </c>
      <c r="AG189" s="489">
        <f t="shared" si="123"/>
        <v>221.25200000000001</v>
      </c>
      <c r="AH189" s="489">
        <f t="shared" si="123"/>
        <v>248.691</v>
      </c>
      <c r="AI189" s="489">
        <f t="shared" si="123"/>
        <v>276.75599999999997</v>
      </c>
      <c r="AJ189" s="548">
        <f t="shared" si="123"/>
        <v>945.81600000000003</v>
      </c>
      <c r="AK189" s="489">
        <f t="shared" si="123"/>
        <v>319.60199999999998</v>
      </c>
      <c r="AL189" s="489">
        <f t="shared" si="123"/>
        <v>349.49400000000003</v>
      </c>
      <c r="AM189" s="489">
        <f t="shared" si="123"/>
        <v>382.30399999999997</v>
      </c>
      <c r="AN189" s="489">
        <f t="shared" si="123"/>
        <v>418.12099999999998</v>
      </c>
      <c r="AO189" s="548">
        <f t="shared" si="123"/>
        <v>1469.5210000000002</v>
      </c>
      <c r="AP189" s="489">
        <f t="shared" si="123"/>
        <v>483.66</v>
      </c>
      <c r="AQ189" s="489">
        <f t="shared" si="123"/>
        <v>569.14</v>
      </c>
      <c r="AR189" s="489">
        <f t="shared" si="123"/>
        <v>634.89099999999996</v>
      </c>
      <c r="AS189" s="489">
        <f t="shared" si="123"/>
        <v>684.60900000000038</v>
      </c>
      <c r="AT189" s="548">
        <f t="shared" si="123"/>
        <v>2372.3000000000002</v>
      </c>
      <c r="AU189" s="489">
        <f t="shared" si="123"/>
        <v>762.41399999999999</v>
      </c>
      <c r="AV189" s="489">
        <f t="shared" si="123"/>
        <v>799.48</v>
      </c>
      <c r="AW189" s="575">
        <f t="shared" si="123"/>
        <v>834.00199999999995</v>
      </c>
      <c r="AX189" s="489">
        <f t="shared" si="123"/>
        <v>903.93888816000003</v>
      </c>
      <c r="AY189" s="548">
        <f t="shared" si="123"/>
        <v>3299.8348881599995</v>
      </c>
      <c r="AZ189" s="489">
        <f t="shared" si="123"/>
        <v>984.49355212084799</v>
      </c>
      <c r="BA189" s="489">
        <f t="shared" si="123"/>
        <v>1048.780981074339</v>
      </c>
      <c r="BB189" s="489">
        <f t="shared" si="123"/>
        <v>1117.2663791384932</v>
      </c>
      <c r="BC189" s="489">
        <f t="shared" si="123"/>
        <v>1196.0016594908786</v>
      </c>
      <c r="BD189" s="548">
        <f t="shared" si="123"/>
        <v>4346.5425718245588</v>
      </c>
      <c r="BE189" s="548">
        <f t="shared" si="123"/>
        <v>5550.2359369423766</v>
      </c>
      <c r="BF189" s="548">
        <f t="shared" si="123"/>
        <v>6879.5174438400736</v>
      </c>
      <c r="BG189" s="548">
        <f t="shared" si="123"/>
        <v>8434.9763378923144</v>
      </c>
      <c r="BH189" s="280"/>
    </row>
    <row r="190" spans="1:60" customFormat="1" x14ac:dyDescent="0.25">
      <c r="A190" s="62" t="s">
        <v>448</v>
      </c>
      <c r="B190" s="493"/>
      <c r="C190" s="874"/>
      <c r="D190" s="874"/>
      <c r="E190" s="874"/>
      <c r="F190" s="875">
        <f t="shared" ref="F190:Z190" si="124">F183+F184</f>
        <v>2472.41</v>
      </c>
      <c r="G190" s="876">
        <f t="shared" si="124"/>
        <v>780.66800000000001</v>
      </c>
      <c r="H190" s="876">
        <f t="shared" si="124"/>
        <v>836.99099999999999</v>
      </c>
      <c r="I190" s="876">
        <f t="shared" si="124"/>
        <v>884.13400000000001</v>
      </c>
      <c r="J190" s="876">
        <f t="shared" si="124"/>
        <v>961.97199999999998</v>
      </c>
      <c r="K190" s="875">
        <f t="shared" si="124"/>
        <v>3463.7649999999999</v>
      </c>
      <c r="L190" s="876">
        <f t="shared" si="124"/>
        <v>1065.7349999999999</v>
      </c>
      <c r="M190" s="876">
        <f t="shared" si="124"/>
        <v>1145.6860000000001</v>
      </c>
      <c r="N190" s="876">
        <f t="shared" si="124"/>
        <v>1222.835</v>
      </c>
      <c r="O190" s="876">
        <f t="shared" si="124"/>
        <v>1305.2390000000003</v>
      </c>
      <c r="P190" s="875">
        <f t="shared" si="124"/>
        <v>4739.4949999999999</v>
      </c>
      <c r="Q190" s="876">
        <f t="shared" si="124"/>
        <v>1399.9290000000001</v>
      </c>
      <c r="R190" s="876">
        <f t="shared" si="124"/>
        <v>1480.6759999999999</v>
      </c>
      <c r="S190" s="876">
        <f t="shared" si="124"/>
        <v>1580.8310000000001</v>
      </c>
      <c r="T190" s="876">
        <f t="shared" si="124"/>
        <v>1672.3379999999997</v>
      </c>
      <c r="U190" s="875">
        <f t="shared" si="124"/>
        <v>6133.7739999999994</v>
      </c>
      <c r="V190" s="876">
        <f t="shared" si="124"/>
        <v>1812.989</v>
      </c>
      <c r="W190" s="876">
        <f t="shared" si="124"/>
        <v>1966.472</v>
      </c>
      <c r="X190" s="876">
        <f t="shared" si="124"/>
        <v>2157.8130000000001</v>
      </c>
      <c r="Y190" s="876">
        <f t="shared" si="124"/>
        <v>2351.1279999999997</v>
      </c>
      <c r="Z190" s="875">
        <f t="shared" si="124"/>
        <v>8288.402</v>
      </c>
      <c r="AA190" s="876">
        <f t="shared" ref="AA190:BG190" si="125">SUM(AA186:AA189)</f>
        <v>2516.241</v>
      </c>
      <c r="AB190" s="876">
        <f t="shared" si="125"/>
        <v>2670.7269999999999</v>
      </c>
      <c r="AC190" s="876">
        <f t="shared" si="125"/>
        <v>2874.645</v>
      </c>
      <c r="AD190" s="876">
        <f t="shared" si="125"/>
        <v>3180.6030000000001</v>
      </c>
      <c r="AE190" s="875">
        <f t="shared" si="125"/>
        <v>11242.215999999999</v>
      </c>
      <c r="AF190" s="876">
        <f t="shared" si="125"/>
        <v>3602.1050000000005</v>
      </c>
      <c r="AG190" s="876">
        <f t="shared" si="125"/>
        <v>3814.3659999999995</v>
      </c>
      <c r="AH190" s="876">
        <f t="shared" si="125"/>
        <v>3910.5969999999998</v>
      </c>
      <c r="AI190" s="876">
        <f t="shared" si="125"/>
        <v>4101.6840000000002</v>
      </c>
      <c r="AJ190" s="875">
        <f t="shared" si="125"/>
        <v>15428.752</v>
      </c>
      <c r="AK190" s="876">
        <f t="shared" si="125"/>
        <v>4440.3040000000001</v>
      </c>
      <c r="AL190" s="876">
        <f t="shared" si="125"/>
        <v>4846.9160000000002</v>
      </c>
      <c r="AM190" s="876">
        <f t="shared" si="125"/>
        <v>5173.0280000000002</v>
      </c>
      <c r="AN190" s="876">
        <f t="shared" si="125"/>
        <v>5398.982</v>
      </c>
      <c r="AO190" s="875">
        <f t="shared" si="125"/>
        <v>19859.230000000003</v>
      </c>
      <c r="AP190" s="876">
        <f t="shared" si="125"/>
        <v>5703.3629999999994</v>
      </c>
      <c r="AQ190" s="876">
        <f t="shared" si="125"/>
        <v>6086.7150000000011</v>
      </c>
      <c r="AR190" s="876">
        <f t="shared" si="125"/>
        <v>6376.8029999999999</v>
      </c>
      <c r="AS190" s="876">
        <f t="shared" si="125"/>
        <v>6589.7940000000017</v>
      </c>
      <c r="AT190" s="875">
        <f t="shared" si="125"/>
        <v>24756.674999999999</v>
      </c>
      <c r="AU190" s="876">
        <f t="shared" si="125"/>
        <v>7113.7070000000003</v>
      </c>
      <c r="AV190" s="876">
        <f t="shared" si="125"/>
        <v>7295.4849999999988</v>
      </c>
      <c r="AW190" s="877">
        <f t="shared" si="125"/>
        <v>7439.2350000000006</v>
      </c>
      <c r="AX190" s="876">
        <f t="shared" si="125"/>
        <v>7681.2982424640004</v>
      </c>
      <c r="AY190" s="875">
        <f t="shared" si="125"/>
        <v>29529.725242463999</v>
      </c>
      <c r="AZ190" s="876">
        <f t="shared" si="125"/>
        <v>7957.977354631148</v>
      </c>
      <c r="BA190" s="876">
        <f t="shared" si="125"/>
        <v>8188.9656305095732</v>
      </c>
      <c r="BB190" s="876">
        <f t="shared" si="125"/>
        <v>8428.3038839611872</v>
      </c>
      <c r="BC190" s="876">
        <f t="shared" si="125"/>
        <v>8682.1516834411177</v>
      </c>
      <c r="BD190" s="875">
        <f t="shared" si="125"/>
        <v>33257.398552543025</v>
      </c>
      <c r="BE190" s="875">
        <f t="shared" si="125"/>
        <v>37582.226211489862</v>
      </c>
      <c r="BF190" s="875">
        <f t="shared" si="125"/>
        <v>42818.954725117546</v>
      </c>
      <c r="BG190" s="875">
        <f t="shared" si="125"/>
        <v>48884.249505931868</v>
      </c>
      <c r="BH190" s="824"/>
    </row>
    <row r="191" spans="1:60" s="57" customFormat="1" x14ac:dyDescent="0.25">
      <c r="A191" s="367" t="str">
        <f>A136</f>
        <v>United States DVD Revenue, mm</v>
      </c>
      <c r="B191" s="442"/>
      <c r="C191" s="864"/>
      <c r="D191" s="864"/>
      <c r="E191" s="864"/>
      <c r="F191" s="865">
        <f t="shared" ref="F191:AK191" si="126">F136</f>
        <v>1136.8720000000001</v>
      </c>
      <c r="G191" s="866">
        <f t="shared" si="126"/>
        <v>243.29300000000001</v>
      </c>
      <c r="H191" s="866">
        <f t="shared" si="126"/>
        <v>232.381</v>
      </c>
      <c r="I191" s="866">
        <f t="shared" si="126"/>
        <v>221.86500000000001</v>
      </c>
      <c r="J191" s="866">
        <f t="shared" si="126"/>
        <v>213.25800000000004</v>
      </c>
      <c r="K191" s="865">
        <f t="shared" si="126"/>
        <v>910.79700000000003</v>
      </c>
      <c r="L191" s="866">
        <f t="shared" si="126"/>
        <v>204.35400000000001</v>
      </c>
      <c r="M191" s="866">
        <f t="shared" si="126"/>
        <v>194.721</v>
      </c>
      <c r="N191" s="866">
        <f t="shared" si="126"/>
        <v>186.59700000000001</v>
      </c>
      <c r="O191" s="866">
        <f t="shared" si="126"/>
        <v>179.48899999999995</v>
      </c>
      <c r="P191" s="865">
        <f t="shared" si="126"/>
        <v>765.16099999999994</v>
      </c>
      <c r="Q191" s="866">
        <f t="shared" si="126"/>
        <v>173.2</v>
      </c>
      <c r="R191" s="866">
        <f t="shared" si="126"/>
        <v>164.018</v>
      </c>
      <c r="S191" s="866">
        <f t="shared" si="126"/>
        <v>157.524</v>
      </c>
      <c r="T191" s="866">
        <f t="shared" si="126"/>
        <v>150.995</v>
      </c>
      <c r="U191" s="865">
        <f t="shared" si="126"/>
        <v>645.73699999999997</v>
      </c>
      <c r="V191" s="866">
        <f t="shared" si="126"/>
        <v>144.74700000000001</v>
      </c>
      <c r="W191" s="866">
        <f t="shared" si="126"/>
        <v>138.732</v>
      </c>
      <c r="X191" s="866">
        <f t="shared" si="126"/>
        <v>132.375</v>
      </c>
      <c r="Y191" s="866">
        <f t="shared" si="126"/>
        <v>126.41300000000001</v>
      </c>
      <c r="Z191" s="865">
        <f t="shared" si="126"/>
        <v>542.26700000000005</v>
      </c>
      <c r="AA191" s="866">
        <f t="shared" si="126"/>
        <v>120.39400000000001</v>
      </c>
      <c r="AB191" s="866">
        <f t="shared" si="126"/>
        <v>114.73699999999999</v>
      </c>
      <c r="AC191" s="866">
        <f t="shared" si="126"/>
        <v>110.214</v>
      </c>
      <c r="AD191" s="866">
        <f t="shared" si="126"/>
        <v>105.15200000000002</v>
      </c>
      <c r="AE191" s="865">
        <f t="shared" si="126"/>
        <v>450.49700000000001</v>
      </c>
      <c r="AF191" s="866">
        <f t="shared" si="126"/>
        <v>98.751000000000005</v>
      </c>
      <c r="AG191" s="866">
        <f t="shared" si="126"/>
        <v>92.903999999999996</v>
      </c>
      <c r="AH191" s="866">
        <f t="shared" si="126"/>
        <v>88.777000000000001</v>
      </c>
      <c r="AI191" s="866">
        <f t="shared" si="126"/>
        <v>85.156999999999968</v>
      </c>
      <c r="AJ191" s="865">
        <f t="shared" si="126"/>
        <v>365.589</v>
      </c>
      <c r="AK191" s="866">
        <f t="shared" si="126"/>
        <v>80.688000000000002</v>
      </c>
      <c r="AL191" s="866">
        <f t="shared" ref="AL191:BG191" si="127">AL136</f>
        <v>76.2</v>
      </c>
      <c r="AM191" s="866">
        <f t="shared" si="127"/>
        <v>71.876999999999995</v>
      </c>
      <c r="AN191" s="866">
        <f t="shared" si="127"/>
        <v>68.452000000000012</v>
      </c>
      <c r="AO191" s="865">
        <f t="shared" si="127"/>
        <v>297.21699999999998</v>
      </c>
      <c r="AP191" s="866">
        <f t="shared" si="127"/>
        <v>64.328000000000003</v>
      </c>
      <c r="AQ191" s="866">
        <f t="shared" si="127"/>
        <v>61.570999999999998</v>
      </c>
      <c r="AR191" s="866">
        <f t="shared" si="127"/>
        <v>58.834000000000003</v>
      </c>
      <c r="AS191" s="866">
        <f t="shared" si="127"/>
        <v>54.647999999999996</v>
      </c>
      <c r="AT191" s="865">
        <f t="shared" si="127"/>
        <v>239.381</v>
      </c>
      <c r="AU191" s="866">
        <f t="shared" si="127"/>
        <v>49.575000000000003</v>
      </c>
      <c r="AV191" s="866">
        <f t="shared" si="127"/>
        <v>46.292000000000002</v>
      </c>
      <c r="AW191" s="878">
        <f t="shared" si="127"/>
        <v>44.231999999999999</v>
      </c>
      <c r="AX191" s="866">
        <f t="shared" si="127"/>
        <v>42.020399999999995</v>
      </c>
      <c r="AY191" s="865">
        <f t="shared" si="127"/>
        <v>182.11939999999998</v>
      </c>
      <c r="AZ191" s="866">
        <f t="shared" si="127"/>
        <v>39.919379999999997</v>
      </c>
      <c r="BA191" s="866">
        <f t="shared" si="127"/>
        <v>37.923410999999994</v>
      </c>
      <c r="BB191" s="866">
        <f t="shared" si="127"/>
        <v>36.027240449999994</v>
      </c>
      <c r="BC191" s="866">
        <f t="shared" si="127"/>
        <v>34.225878427499993</v>
      </c>
      <c r="BD191" s="865">
        <f t="shared" si="127"/>
        <v>148.09590987749999</v>
      </c>
      <c r="BE191" s="865">
        <f t="shared" si="127"/>
        <v>118.47672790199999</v>
      </c>
      <c r="BF191" s="865">
        <f t="shared" si="127"/>
        <v>94.781382321600006</v>
      </c>
      <c r="BG191" s="865">
        <f t="shared" si="127"/>
        <v>75.825105857280008</v>
      </c>
      <c r="BH191" s="821"/>
    </row>
    <row r="192" spans="1:60" customFormat="1" x14ac:dyDescent="0.25">
      <c r="A192" s="61" t="s">
        <v>16</v>
      </c>
      <c r="B192" s="492"/>
      <c r="C192" s="869"/>
      <c r="D192" s="869"/>
      <c r="E192" s="869"/>
      <c r="F192" s="872">
        <f t="shared" ref="F192:AK192" si="128">F190+F191</f>
        <v>3609.2820000000002</v>
      </c>
      <c r="G192" s="871">
        <f t="shared" si="128"/>
        <v>1023.961</v>
      </c>
      <c r="H192" s="871">
        <f t="shared" si="128"/>
        <v>1069.3720000000001</v>
      </c>
      <c r="I192" s="871">
        <f t="shared" si="128"/>
        <v>1105.999</v>
      </c>
      <c r="J192" s="871">
        <f t="shared" si="128"/>
        <v>1175.23</v>
      </c>
      <c r="K192" s="872">
        <f t="shared" si="128"/>
        <v>4374.5619999999999</v>
      </c>
      <c r="L192" s="871">
        <f t="shared" si="128"/>
        <v>1270.0889999999999</v>
      </c>
      <c r="M192" s="871">
        <f t="shared" si="128"/>
        <v>1340.4070000000002</v>
      </c>
      <c r="N192" s="871">
        <f t="shared" si="128"/>
        <v>1409.432</v>
      </c>
      <c r="O192" s="871">
        <f t="shared" si="128"/>
        <v>1484.7280000000003</v>
      </c>
      <c r="P192" s="872">
        <f t="shared" si="128"/>
        <v>5504.6559999999999</v>
      </c>
      <c r="Q192" s="871">
        <f t="shared" si="128"/>
        <v>1573.1290000000001</v>
      </c>
      <c r="R192" s="871">
        <f t="shared" si="128"/>
        <v>1644.694</v>
      </c>
      <c r="S192" s="871">
        <f t="shared" si="128"/>
        <v>1738.355</v>
      </c>
      <c r="T192" s="871">
        <f t="shared" si="128"/>
        <v>1823.3329999999996</v>
      </c>
      <c r="U192" s="872">
        <f t="shared" si="128"/>
        <v>6779.5109999999995</v>
      </c>
      <c r="V192" s="871">
        <f t="shared" si="128"/>
        <v>1957.7360000000001</v>
      </c>
      <c r="W192" s="871">
        <f t="shared" si="128"/>
        <v>2105.2040000000002</v>
      </c>
      <c r="X192" s="871">
        <f t="shared" si="128"/>
        <v>2290.1880000000001</v>
      </c>
      <c r="Y192" s="871">
        <f t="shared" si="128"/>
        <v>2477.5409999999997</v>
      </c>
      <c r="Z192" s="872">
        <f t="shared" si="128"/>
        <v>8830.6689999999999</v>
      </c>
      <c r="AA192" s="871">
        <f t="shared" si="128"/>
        <v>2636.6350000000002</v>
      </c>
      <c r="AB192" s="871">
        <f t="shared" si="128"/>
        <v>2785.4639999999999</v>
      </c>
      <c r="AC192" s="871">
        <f t="shared" si="128"/>
        <v>2984.8589999999999</v>
      </c>
      <c r="AD192" s="871">
        <f t="shared" si="128"/>
        <v>3285.7550000000001</v>
      </c>
      <c r="AE192" s="872">
        <f t="shared" si="128"/>
        <v>11692.712999999998</v>
      </c>
      <c r="AF192" s="871">
        <f t="shared" si="128"/>
        <v>3700.8560000000007</v>
      </c>
      <c r="AG192" s="871">
        <f t="shared" si="128"/>
        <v>3907.2699999999995</v>
      </c>
      <c r="AH192" s="871">
        <f t="shared" si="128"/>
        <v>3999.3739999999998</v>
      </c>
      <c r="AI192" s="871">
        <f t="shared" si="128"/>
        <v>4186.8410000000003</v>
      </c>
      <c r="AJ192" s="872">
        <f t="shared" si="128"/>
        <v>15794.341</v>
      </c>
      <c r="AK192" s="871">
        <f t="shared" si="128"/>
        <v>4520.9920000000002</v>
      </c>
      <c r="AL192" s="871">
        <f t="shared" ref="AL192:BG192" si="129">AL190+AL191</f>
        <v>4923.116</v>
      </c>
      <c r="AM192" s="871">
        <f t="shared" si="129"/>
        <v>5244.9050000000007</v>
      </c>
      <c r="AN192" s="871">
        <f t="shared" si="129"/>
        <v>5467.4340000000002</v>
      </c>
      <c r="AO192" s="872">
        <f t="shared" si="129"/>
        <v>20156.447000000004</v>
      </c>
      <c r="AP192" s="871">
        <f t="shared" si="129"/>
        <v>5767.6909999999998</v>
      </c>
      <c r="AQ192" s="871">
        <f t="shared" si="129"/>
        <v>6148.286000000001</v>
      </c>
      <c r="AR192" s="871">
        <f t="shared" si="129"/>
        <v>6435.6369999999997</v>
      </c>
      <c r="AS192" s="871">
        <f t="shared" si="129"/>
        <v>6644.4420000000018</v>
      </c>
      <c r="AT192" s="872">
        <f t="shared" si="129"/>
        <v>24996.056</v>
      </c>
      <c r="AU192" s="871">
        <f t="shared" si="129"/>
        <v>7163.2820000000002</v>
      </c>
      <c r="AV192" s="871">
        <f t="shared" si="129"/>
        <v>7341.7769999999991</v>
      </c>
      <c r="AW192" s="873">
        <f t="shared" si="129"/>
        <v>7483.4670000000006</v>
      </c>
      <c r="AX192" s="871">
        <f t="shared" si="129"/>
        <v>7723.3186424640007</v>
      </c>
      <c r="AY192" s="872">
        <f t="shared" si="129"/>
        <v>29711.844642463999</v>
      </c>
      <c r="AZ192" s="871">
        <f t="shared" si="129"/>
        <v>7997.8967346311483</v>
      </c>
      <c r="BA192" s="871">
        <f t="shared" si="129"/>
        <v>8226.8890415095739</v>
      </c>
      <c r="BB192" s="871">
        <f t="shared" si="129"/>
        <v>8464.3311244111865</v>
      </c>
      <c r="BC192" s="871">
        <f t="shared" si="129"/>
        <v>8716.3775618686177</v>
      </c>
      <c r="BD192" s="872">
        <f t="shared" si="129"/>
        <v>33405.494462420524</v>
      </c>
      <c r="BE192" s="872">
        <f t="shared" si="129"/>
        <v>37700.702939391864</v>
      </c>
      <c r="BF192" s="872">
        <f t="shared" si="129"/>
        <v>42913.736107439145</v>
      </c>
      <c r="BG192" s="872">
        <f t="shared" si="129"/>
        <v>48960.074611789147</v>
      </c>
      <c r="BH192" s="824"/>
    </row>
    <row r="193" spans="1:60" s="57" customFormat="1" hidden="1" outlineLevel="1" x14ac:dyDescent="0.25">
      <c r="A193" s="494"/>
      <c r="B193" s="493"/>
      <c r="C193" s="874"/>
      <c r="D193" s="874"/>
      <c r="E193" s="874"/>
      <c r="F193" s="874"/>
      <c r="G193" s="879"/>
      <c r="H193" s="879"/>
      <c r="I193" s="879"/>
      <c r="J193" s="879"/>
      <c r="K193" s="874"/>
      <c r="L193" s="879"/>
      <c r="M193" s="879"/>
      <c r="N193" s="879"/>
      <c r="O193" s="879"/>
      <c r="P193" s="874"/>
      <c r="Q193" s="879"/>
      <c r="R193" s="879"/>
      <c r="S193" s="879"/>
      <c r="T193" s="879"/>
      <c r="U193" s="874"/>
      <c r="V193" s="879"/>
      <c r="W193" s="879"/>
      <c r="X193" s="879"/>
      <c r="Y193" s="879"/>
      <c r="Z193" s="874"/>
      <c r="AA193" s="879"/>
      <c r="AB193" s="879"/>
      <c r="AC193" s="879"/>
      <c r="AD193" s="879"/>
      <c r="AE193" s="874"/>
      <c r="AF193" s="879"/>
      <c r="AG193" s="879"/>
      <c r="AH193" s="879"/>
      <c r="AI193" s="879"/>
      <c r="AJ193" s="874"/>
      <c r="AK193" s="879"/>
      <c r="AL193" s="879"/>
      <c r="AM193" s="879"/>
      <c r="AN193" s="879"/>
      <c r="AO193" s="874"/>
      <c r="AP193" s="879"/>
      <c r="AQ193" s="879"/>
      <c r="AR193" s="879"/>
      <c r="AS193" s="879"/>
      <c r="AT193" s="874"/>
      <c r="AU193" s="879"/>
      <c r="AV193" s="879"/>
      <c r="AW193" s="880"/>
      <c r="AX193" s="879"/>
      <c r="AY193" s="874"/>
      <c r="AZ193" s="879"/>
      <c r="BA193" s="879"/>
      <c r="BB193" s="879"/>
      <c r="BC193" s="879"/>
      <c r="BD193" s="874"/>
      <c r="BE193" s="874"/>
      <c r="BF193" s="874"/>
      <c r="BG193" s="874"/>
      <c r="BH193" s="824"/>
    </row>
    <row r="194" spans="1:60" s="416" customFormat="1" hidden="1" outlineLevel="2" x14ac:dyDescent="0.25">
      <c r="A194" s="181" t="s">
        <v>660</v>
      </c>
      <c r="B194" s="496"/>
      <c r="C194" s="325"/>
      <c r="D194" s="325"/>
      <c r="E194" s="325"/>
      <c r="F194" s="45">
        <f t="shared" ref="F194:Z194" si="130">F183/F$192</f>
        <v>7.9667368745362635E-2</v>
      </c>
      <c r="G194" s="67">
        <f t="shared" si="130"/>
        <v>0.13869571204372041</v>
      </c>
      <c r="H194" s="67">
        <f t="shared" si="130"/>
        <v>0.15513965205746921</v>
      </c>
      <c r="I194" s="67">
        <f t="shared" si="130"/>
        <v>0.16550738291806771</v>
      </c>
      <c r="J194" s="67">
        <f t="shared" si="130"/>
        <v>0.18840397198846179</v>
      </c>
      <c r="K194" s="45">
        <f t="shared" si="130"/>
        <v>0.16284830344157883</v>
      </c>
      <c r="L194" s="67">
        <f t="shared" si="130"/>
        <v>0.2103143952904088</v>
      </c>
      <c r="M194" s="67">
        <f t="shared" si="130"/>
        <v>0.22937883792012426</v>
      </c>
      <c r="N194" s="67">
        <f t="shared" si="130"/>
        <v>0.24526546864268728</v>
      </c>
      <c r="O194" s="67">
        <f t="shared" si="130"/>
        <v>0.26119060191496346</v>
      </c>
      <c r="P194" s="45">
        <f t="shared" si="130"/>
        <v>0.23762810973110762</v>
      </c>
      <c r="Q194" s="67">
        <f t="shared" si="130"/>
        <v>0.26405781089789837</v>
      </c>
      <c r="R194" s="67">
        <f t="shared" si="130"/>
        <v>0.27650310635291425</v>
      </c>
      <c r="S194" s="67">
        <f t="shared" si="130"/>
        <v>0.29733282327257665</v>
      </c>
      <c r="T194" s="67">
        <f t="shared" si="130"/>
        <v>0.3106426527683096</v>
      </c>
      <c r="U194" s="45">
        <f t="shared" si="130"/>
        <v>0.28813803827444195</v>
      </c>
      <c r="V194" s="67">
        <f t="shared" si="130"/>
        <v>0.33290903370015162</v>
      </c>
      <c r="W194" s="67">
        <f t="shared" si="130"/>
        <v>0.36015559537222996</v>
      </c>
      <c r="X194" s="67">
        <f t="shared" si="130"/>
        <v>0.37266809537033641</v>
      </c>
      <c r="Y194" s="67">
        <f t="shared" si="130"/>
        <v>0.38250265081385126</v>
      </c>
      <c r="Z194" s="45">
        <f t="shared" si="130"/>
        <v>0.36362986768046679</v>
      </c>
      <c r="AA194" s="168"/>
      <c r="AB194" s="168"/>
      <c r="AC194" s="168"/>
      <c r="AD194" s="168"/>
      <c r="AE194" s="325"/>
      <c r="AF194" s="168"/>
      <c r="AG194" s="168"/>
      <c r="AH194" s="168"/>
      <c r="AI194" s="168"/>
      <c r="AJ194" s="325"/>
      <c r="AK194" s="168"/>
      <c r="AL194" s="168"/>
      <c r="AM194" s="168"/>
      <c r="AN194" s="168"/>
      <c r="AO194" s="325"/>
      <c r="AP194" s="168"/>
      <c r="AQ194" s="168"/>
      <c r="AR194" s="168"/>
      <c r="AS194" s="168"/>
      <c r="AT194" s="325"/>
      <c r="AU194" s="168"/>
      <c r="AV194" s="168"/>
      <c r="AW194" s="579"/>
      <c r="AX194" s="168"/>
      <c r="AY194" s="325"/>
      <c r="AZ194" s="168"/>
      <c r="BA194" s="168"/>
      <c r="BB194" s="168"/>
      <c r="BC194" s="168"/>
      <c r="BD194" s="325"/>
      <c r="BE194" s="325"/>
      <c r="BF194" s="325"/>
      <c r="BG194" s="325"/>
      <c r="BH194" s="67"/>
    </row>
    <row r="195" spans="1:60" s="416" customFormat="1" hidden="1" outlineLevel="2" x14ac:dyDescent="0.25">
      <c r="A195" s="645" t="s">
        <v>652</v>
      </c>
      <c r="B195" s="496"/>
      <c r="C195" s="325"/>
      <c r="D195" s="325"/>
      <c r="E195" s="325"/>
      <c r="F195" s="45">
        <f t="shared" ref="F195:Z195" si="131">F184/F$192</f>
        <v>0.60534699145148529</v>
      </c>
      <c r="G195" s="67">
        <f t="shared" si="131"/>
        <v>0.6237044184299988</v>
      </c>
      <c r="H195" s="67">
        <f t="shared" si="131"/>
        <v>0.62755430289927172</v>
      </c>
      <c r="I195" s="67">
        <f t="shared" si="131"/>
        <v>0.63389116988351701</v>
      </c>
      <c r="J195" s="67">
        <f t="shared" si="131"/>
        <v>0.6301353777558435</v>
      </c>
      <c r="K195" s="45">
        <f t="shared" si="131"/>
        <v>0.62894868103366697</v>
      </c>
      <c r="L195" s="67">
        <f t="shared" si="131"/>
        <v>0.6287882187783691</v>
      </c>
      <c r="M195" s="67">
        <f t="shared" si="131"/>
        <v>0.62535110604465649</v>
      </c>
      <c r="N195" s="67">
        <f t="shared" si="131"/>
        <v>0.6223429012538384</v>
      </c>
      <c r="O195" s="67">
        <f t="shared" si="131"/>
        <v>0.61791924177357738</v>
      </c>
      <c r="P195" s="45">
        <f t="shared" si="131"/>
        <v>0.62336938039361589</v>
      </c>
      <c r="Q195" s="67">
        <f t="shared" si="131"/>
        <v>0.6258431444592274</v>
      </c>
      <c r="R195" s="67">
        <f t="shared" si="131"/>
        <v>0.62377135199617684</v>
      </c>
      <c r="S195" s="67">
        <f t="shared" si="131"/>
        <v>0.61205047300465099</v>
      </c>
      <c r="T195" s="67">
        <f t="shared" si="131"/>
        <v>0.60654471783267239</v>
      </c>
      <c r="U195" s="45">
        <f t="shared" si="131"/>
        <v>0.61661364661846563</v>
      </c>
      <c r="V195" s="67">
        <f t="shared" si="131"/>
        <v>0.59315505257092882</v>
      </c>
      <c r="W195" s="67">
        <f t="shared" si="131"/>
        <v>0.57394485285036501</v>
      </c>
      <c r="X195" s="67">
        <f t="shared" si="131"/>
        <v>0.56953097300308975</v>
      </c>
      <c r="Y195" s="67">
        <f t="shared" si="131"/>
        <v>0.56647377379425812</v>
      </c>
      <c r="Z195" s="45">
        <f t="shared" si="131"/>
        <v>0.5749628935248281</v>
      </c>
      <c r="AA195" s="67">
        <f t="shared" ref="AA195:AO195" si="132">AA184/AA$192</f>
        <v>0.55754474927322129</v>
      </c>
      <c r="AB195" s="67">
        <f t="shared" si="132"/>
        <v>0.54048409887903781</v>
      </c>
      <c r="AC195" s="67">
        <f t="shared" si="132"/>
        <v>0.51835279321401784</v>
      </c>
      <c r="AD195" s="67">
        <f t="shared" si="132"/>
        <v>0.496164199704482</v>
      </c>
      <c r="AE195" s="45">
        <f t="shared" si="132"/>
        <v>0.52622731781751597</v>
      </c>
      <c r="AF195" s="67">
        <f t="shared" si="132"/>
        <v>0.49178325230703374</v>
      </c>
      <c r="AG195" s="67">
        <f t="shared" si="132"/>
        <v>0.48453830935666087</v>
      </c>
      <c r="AH195" s="67">
        <f t="shared" si="132"/>
        <v>0.48440430927440148</v>
      </c>
      <c r="AI195" s="67">
        <f t="shared" si="132"/>
        <v>0.47675371479356388</v>
      </c>
      <c r="AJ195" s="45">
        <f t="shared" si="132"/>
        <v>0.48413840121597979</v>
      </c>
      <c r="AK195" s="67">
        <f t="shared" si="132"/>
        <v>0.4586504466276427</v>
      </c>
      <c r="AL195" s="67">
        <f t="shared" si="132"/>
        <v>0.46701905866122184</v>
      </c>
      <c r="AM195" s="67">
        <f t="shared" si="132"/>
        <v>0.45998888445071923</v>
      </c>
      <c r="AN195" s="67">
        <f t="shared" si="132"/>
        <v>0.44950940422874763</v>
      </c>
      <c r="AO195" s="45">
        <f t="shared" si="132"/>
        <v>0.45856320808920331</v>
      </c>
      <c r="AP195" s="168"/>
      <c r="AQ195" s="168"/>
      <c r="AR195" s="168"/>
      <c r="AS195" s="168"/>
      <c r="AT195" s="325"/>
      <c r="AU195" s="168"/>
      <c r="AV195" s="168"/>
      <c r="AW195" s="579"/>
      <c r="AX195" s="168"/>
      <c r="AY195" s="325"/>
      <c r="AZ195" s="168"/>
      <c r="BA195" s="168"/>
      <c r="BB195" s="168"/>
      <c r="BC195" s="168"/>
      <c r="BD195" s="325"/>
      <c r="BE195" s="325"/>
      <c r="BF195" s="325"/>
      <c r="BG195" s="325"/>
      <c r="BH195" s="67"/>
    </row>
    <row r="196" spans="1:60" s="416" customFormat="1" hidden="1" outlineLevel="2" x14ac:dyDescent="0.25">
      <c r="A196" s="646" t="s">
        <v>653</v>
      </c>
      <c r="B196" s="498"/>
      <c r="C196" s="342"/>
      <c r="D196" s="342"/>
      <c r="E196" s="342"/>
      <c r="F196" s="342"/>
      <c r="G196" s="333"/>
      <c r="H196" s="333"/>
      <c r="I196" s="333"/>
      <c r="J196" s="333"/>
      <c r="K196" s="342"/>
      <c r="L196" s="333"/>
      <c r="M196" s="333"/>
      <c r="N196" s="333"/>
      <c r="O196" s="333"/>
      <c r="P196" s="342"/>
      <c r="Q196" s="333"/>
      <c r="R196" s="333"/>
      <c r="S196" s="333"/>
      <c r="T196" s="333"/>
      <c r="U196" s="342"/>
      <c r="V196" s="333"/>
      <c r="W196" s="333"/>
      <c r="X196" s="333"/>
      <c r="Y196" s="333"/>
      <c r="Z196" s="342"/>
      <c r="AA196" s="332">
        <f t="shared" ref="AA196:AO196" si="133">AA185/AA$192</f>
        <v>4.4042880413860848E-2</v>
      </c>
      <c r="AB196" s="332">
        <f t="shared" si="133"/>
        <v>4.2685168431543151E-2</v>
      </c>
      <c r="AC196" s="332">
        <f t="shared" si="133"/>
        <v>4.258090583173274E-2</v>
      </c>
      <c r="AD196" s="332">
        <f t="shared" si="133"/>
        <v>4.4346885266856394E-2</v>
      </c>
      <c r="AE196" s="341">
        <f t="shared" si="133"/>
        <v>4.3431665516805204E-2</v>
      </c>
      <c r="AF196" s="332">
        <f t="shared" si="133"/>
        <v>4.2189698815625329E-2</v>
      </c>
      <c r="AG196" s="332">
        <f t="shared" si="133"/>
        <v>4.0008496981268217E-2</v>
      </c>
      <c r="AH196" s="332">
        <f t="shared" si="133"/>
        <v>3.939016456075372E-2</v>
      </c>
      <c r="AI196" s="332">
        <f t="shared" si="133"/>
        <v>3.9382197699888752E-2</v>
      </c>
      <c r="AJ196" s="341">
        <f t="shared" si="133"/>
        <v>4.0196992074566409E-2</v>
      </c>
      <c r="AK196" s="332">
        <f t="shared" si="133"/>
        <v>4.0543314387638876E-2</v>
      </c>
      <c r="AL196" s="332">
        <f t="shared" si="133"/>
        <v>4.1032955550915358E-2</v>
      </c>
      <c r="AM196" s="332">
        <f t="shared" si="133"/>
        <v>3.9781845429040188E-2</v>
      </c>
      <c r="AN196" s="332">
        <f t="shared" si="133"/>
        <v>3.9185658208220023E-2</v>
      </c>
      <c r="AO196" s="341">
        <f t="shared" si="133"/>
        <v>4.0096501134351765E-2</v>
      </c>
      <c r="AP196" s="333"/>
      <c r="AQ196" s="333"/>
      <c r="AR196" s="333"/>
      <c r="AS196" s="333"/>
      <c r="AT196" s="342"/>
      <c r="AU196" s="333"/>
      <c r="AV196" s="333"/>
      <c r="AW196" s="580"/>
      <c r="AX196" s="333"/>
      <c r="AY196" s="342"/>
      <c r="AZ196" s="333"/>
      <c r="BA196" s="333"/>
      <c r="BB196" s="333"/>
      <c r="BC196" s="333"/>
      <c r="BD196" s="342"/>
      <c r="BE196" s="342"/>
      <c r="BF196" s="342"/>
      <c r="BG196" s="342"/>
      <c r="BH196" s="67"/>
    </row>
    <row r="197" spans="1:60" s="416" customFormat="1" hidden="1" outlineLevel="1" collapsed="1" x14ac:dyDescent="0.25">
      <c r="A197" s="181" t="s">
        <v>654</v>
      </c>
      <c r="B197" s="496"/>
      <c r="C197" s="325"/>
      <c r="D197" s="325"/>
      <c r="E197" s="325"/>
      <c r="F197" s="325"/>
      <c r="G197" s="168"/>
      <c r="H197" s="168"/>
      <c r="I197" s="168"/>
      <c r="J197" s="168"/>
      <c r="K197" s="325"/>
      <c r="L197" s="168"/>
      <c r="M197" s="168"/>
      <c r="N197" s="168"/>
      <c r="O197" s="168"/>
      <c r="P197" s="325"/>
      <c r="Q197" s="168"/>
      <c r="R197" s="168"/>
      <c r="S197" s="168"/>
      <c r="T197" s="168"/>
      <c r="U197" s="325"/>
      <c r="V197" s="168"/>
      <c r="W197" s="168"/>
      <c r="X197" s="168"/>
      <c r="Y197" s="168"/>
      <c r="Z197" s="325"/>
      <c r="AA197" s="67">
        <f t="shared" ref="AA197:AO197" si="134">AA186/AA$192</f>
        <v>0.60158762968708213</v>
      </c>
      <c r="AB197" s="67">
        <f t="shared" si="134"/>
        <v>0.58316926731058094</v>
      </c>
      <c r="AC197" s="67">
        <f t="shared" si="134"/>
        <v>0.56093369904575063</v>
      </c>
      <c r="AD197" s="67">
        <f t="shared" si="134"/>
        <v>0.54051108497133837</v>
      </c>
      <c r="AE197" s="45">
        <f t="shared" si="134"/>
        <v>0.56965898333432119</v>
      </c>
      <c r="AF197" s="67">
        <f t="shared" si="134"/>
        <v>0.53397295112265908</v>
      </c>
      <c r="AG197" s="67">
        <f t="shared" si="134"/>
        <v>0.52454680633792905</v>
      </c>
      <c r="AH197" s="67">
        <f t="shared" si="134"/>
        <v>0.52379447383515521</v>
      </c>
      <c r="AI197" s="67">
        <f t="shared" si="134"/>
        <v>0.51613591249345259</v>
      </c>
      <c r="AJ197" s="45">
        <f t="shared" si="134"/>
        <v>0.52433539329054624</v>
      </c>
      <c r="AK197" s="67">
        <f t="shared" si="134"/>
        <v>0.49919376101528162</v>
      </c>
      <c r="AL197" s="67">
        <f t="shared" si="134"/>
        <v>0.50805201421213719</v>
      </c>
      <c r="AM197" s="67">
        <f t="shared" si="134"/>
        <v>0.49977072987975946</v>
      </c>
      <c r="AN197" s="67">
        <f t="shared" si="134"/>
        <v>0.48869506243696764</v>
      </c>
      <c r="AO197" s="45">
        <f t="shared" si="134"/>
        <v>0.49865970922355507</v>
      </c>
      <c r="AP197" s="67">
        <f t="shared" ref="AP197:BG197" si="135">AP186/AP$192</f>
        <v>0.46860624121507199</v>
      </c>
      <c r="AQ197" s="67">
        <f t="shared" si="135"/>
        <v>0.46186368038181691</v>
      </c>
      <c r="AR197" s="67">
        <f t="shared" si="135"/>
        <v>0.45581268800586489</v>
      </c>
      <c r="AS197" s="67">
        <f t="shared" si="135"/>
        <v>0.44842064992064046</v>
      </c>
      <c r="AT197" s="45">
        <f t="shared" si="135"/>
        <v>0.45828813953689335</v>
      </c>
      <c r="AU197" s="67">
        <f t="shared" si="135"/>
        <v>0.44267027320716956</v>
      </c>
      <c r="AV197" s="67">
        <f t="shared" si="135"/>
        <v>0.44058039354777467</v>
      </c>
      <c r="AW197" s="642">
        <f t="shared" si="135"/>
        <v>0.43531921768346138</v>
      </c>
      <c r="AX197" s="67">
        <f t="shared" si="135"/>
        <v>0.42845315186844229</v>
      </c>
      <c r="AY197" s="45">
        <f t="shared" si="135"/>
        <v>0.43660675974011831</v>
      </c>
      <c r="AZ197" s="67">
        <f t="shared" si="135"/>
        <v>0.4220600539837005</v>
      </c>
      <c r="BA197" s="67">
        <f t="shared" si="135"/>
        <v>0.4185594486596948</v>
      </c>
      <c r="BB197" s="67">
        <f t="shared" si="135"/>
        <v>0.41499502758231255</v>
      </c>
      <c r="BC197" s="67">
        <f t="shared" si="135"/>
        <v>0.41109505354817699</v>
      </c>
      <c r="BD197" s="45">
        <f t="shared" si="135"/>
        <v>0.41654674244113288</v>
      </c>
      <c r="BE197" s="45">
        <f t="shared" si="135"/>
        <v>0.39354302645107725</v>
      </c>
      <c r="BF197" s="45">
        <f t="shared" si="135"/>
        <v>0.36679194704931439</v>
      </c>
      <c r="BG197" s="45">
        <f t="shared" si="135"/>
        <v>0.34107390757217898</v>
      </c>
      <c r="BH197" s="67"/>
    </row>
    <row r="198" spans="1:60" s="416" customFormat="1" hidden="1" outlineLevel="1" x14ac:dyDescent="0.25">
      <c r="A198" s="181" t="s">
        <v>655</v>
      </c>
      <c r="B198" s="496"/>
      <c r="C198" s="325"/>
      <c r="D198" s="325"/>
      <c r="E198" s="325"/>
      <c r="F198" s="325"/>
      <c r="G198" s="168"/>
      <c r="H198" s="168"/>
      <c r="I198" s="168"/>
      <c r="J198" s="168"/>
      <c r="K198" s="325"/>
      <c r="L198" s="168"/>
      <c r="M198" s="168"/>
      <c r="N198" s="168"/>
      <c r="O198" s="168"/>
      <c r="P198" s="325"/>
      <c r="Q198" s="168"/>
      <c r="R198" s="168"/>
      <c r="S198" s="168"/>
      <c r="T198" s="168"/>
      <c r="U198" s="325"/>
      <c r="V198" s="168"/>
      <c r="W198" s="168"/>
      <c r="X198" s="168"/>
      <c r="Y198" s="168"/>
      <c r="Z198" s="325"/>
      <c r="AA198" s="67">
        <f t="shared" ref="AA198:AO198" si="136">AA187/AA$192</f>
        <v>0.18291572401944142</v>
      </c>
      <c r="AB198" s="67">
        <f t="shared" si="136"/>
        <v>0.19138570809028585</v>
      </c>
      <c r="AC198" s="67">
        <f t="shared" si="136"/>
        <v>0.20594172120023091</v>
      </c>
      <c r="AD198" s="67">
        <f t="shared" si="136"/>
        <v>0.22300080194658456</v>
      </c>
      <c r="AE198" s="45">
        <f t="shared" si="136"/>
        <v>0.20207568594217618</v>
      </c>
      <c r="AF198" s="67">
        <f t="shared" si="136"/>
        <v>0.23957943783816496</v>
      </c>
      <c r="AG198" s="67">
        <f t="shared" si="136"/>
        <v>0.24966204024805044</v>
      </c>
      <c r="AH198" s="67">
        <f t="shared" si="136"/>
        <v>0.25122656695772888</v>
      </c>
      <c r="AI198" s="67">
        <f t="shared" si="136"/>
        <v>0.26196648021742402</v>
      </c>
      <c r="AJ198" s="45">
        <f t="shared" si="136"/>
        <v>0.25095741569717911</v>
      </c>
      <c r="AK198" s="67">
        <f t="shared" si="136"/>
        <v>0.27281158648367437</v>
      </c>
      <c r="AL198" s="67">
        <f t="shared" si="136"/>
        <v>0.26793742012172778</v>
      </c>
      <c r="AM198" s="67">
        <f t="shared" si="136"/>
        <v>0.27227185239770785</v>
      </c>
      <c r="AN198" s="67">
        <f t="shared" si="136"/>
        <v>0.28579421351954132</v>
      </c>
      <c r="AO198" s="45">
        <f t="shared" si="136"/>
        <v>0.27500218664529513</v>
      </c>
      <c r="AP198" s="67">
        <f t="shared" ref="AP198:BG198" si="137">AP187/AP$192</f>
        <v>0.29881524513015695</v>
      </c>
      <c r="AQ198" s="67">
        <f t="shared" si="137"/>
        <v>0.30781538139247261</v>
      </c>
      <c r="AR198" s="67">
        <f t="shared" si="137"/>
        <v>0.31373475539406592</v>
      </c>
      <c r="AS198" s="67">
        <f t="shared" si="137"/>
        <v>0.3216459711741031</v>
      </c>
      <c r="AT198" s="45">
        <f t="shared" si="137"/>
        <v>0.31093913375774163</v>
      </c>
      <c r="AU198" s="67">
        <f t="shared" si="137"/>
        <v>0.32717879876849743</v>
      </c>
      <c r="AV198" s="67">
        <f t="shared" si="137"/>
        <v>0.32696171512700539</v>
      </c>
      <c r="AW198" s="642">
        <f t="shared" si="137"/>
        <v>0.32501499639137849</v>
      </c>
      <c r="AX198" s="67">
        <f t="shared" si="137"/>
        <v>0.32703827064866214</v>
      </c>
      <c r="AY198" s="45">
        <f t="shared" si="137"/>
        <v>0.32654363568641076</v>
      </c>
      <c r="AZ198" s="67">
        <f t="shared" si="137"/>
        <v>0.32847525108589165</v>
      </c>
      <c r="BA198" s="67">
        <f t="shared" si="137"/>
        <v>0.32897610272619032</v>
      </c>
      <c r="BB198" s="67">
        <f t="shared" si="137"/>
        <v>0.32940401790372625</v>
      </c>
      <c r="BC198" s="67">
        <f t="shared" si="137"/>
        <v>0.32953917361130625</v>
      </c>
      <c r="BD198" s="45">
        <f t="shared" si="137"/>
        <v>0.32911153537159549</v>
      </c>
      <c r="BE198" s="45">
        <f t="shared" si="137"/>
        <v>0.33901509867572543</v>
      </c>
      <c r="BF198" s="45">
        <f t="shared" si="137"/>
        <v>0.35620773181322063</v>
      </c>
      <c r="BG198" s="45">
        <f t="shared" si="137"/>
        <v>0.37341243553052805</v>
      </c>
      <c r="BH198" s="67"/>
    </row>
    <row r="199" spans="1:60" s="416" customFormat="1" hidden="1" outlineLevel="1" x14ac:dyDescent="0.25">
      <c r="A199" s="181" t="s">
        <v>656</v>
      </c>
      <c r="B199" s="496"/>
      <c r="C199" s="325"/>
      <c r="D199" s="325"/>
      <c r="E199" s="325"/>
      <c r="F199" s="325"/>
      <c r="G199" s="168"/>
      <c r="H199" s="168"/>
      <c r="I199" s="168"/>
      <c r="J199" s="168"/>
      <c r="K199" s="325"/>
      <c r="L199" s="168"/>
      <c r="M199" s="168"/>
      <c r="N199" s="168"/>
      <c r="O199" s="168"/>
      <c r="P199" s="325"/>
      <c r="Q199" s="168"/>
      <c r="R199" s="168"/>
      <c r="S199" s="168"/>
      <c r="T199" s="168"/>
      <c r="U199" s="325"/>
      <c r="V199" s="168"/>
      <c r="W199" s="168"/>
      <c r="X199" s="168"/>
      <c r="Y199" s="168"/>
      <c r="Z199" s="325"/>
      <c r="AA199" s="67">
        <f t="shared" ref="AA199:AO199" si="138">AA188/AA$192</f>
        <v>0.12571061220077862</v>
      </c>
      <c r="AB199" s="67">
        <f t="shared" si="138"/>
        <v>0.13694630409870673</v>
      </c>
      <c r="AC199" s="67">
        <f t="shared" si="138"/>
        <v>0.14561391342103597</v>
      </c>
      <c r="AD199" s="67">
        <f t="shared" si="138"/>
        <v>0.15067069821091347</v>
      </c>
      <c r="AE199" s="45">
        <f t="shared" si="138"/>
        <v>0.14048202500138338</v>
      </c>
      <c r="AF199" s="67">
        <f t="shared" si="138"/>
        <v>0.14596136677568647</v>
      </c>
      <c r="AG199" s="67">
        <f t="shared" si="138"/>
        <v>0.14538821223002252</v>
      </c>
      <c r="AH199" s="67">
        <f t="shared" si="138"/>
        <v>0.14059875370495484</v>
      </c>
      <c r="AI199" s="67">
        <f t="shared" si="138"/>
        <v>0.13545701878815075</v>
      </c>
      <c r="AJ199" s="45">
        <f t="shared" si="138"/>
        <v>0.14167713613375829</v>
      </c>
      <c r="AK199" s="67">
        <f t="shared" si="138"/>
        <v>0.13945434984180463</v>
      </c>
      <c r="AL199" s="67">
        <f t="shared" si="138"/>
        <v>0.13754215825911881</v>
      </c>
      <c r="AM199" s="67">
        <f t="shared" si="138"/>
        <v>0.14136271295666936</v>
      </c>
      <c r="AN199" s="67">
        <f t="shared" si="138"/>
        <v>0.1365159597719881</v>
      </c>
      <c r="AO199" s="45">
        <f t="shared" si="138"/>
        <v>0.13868684297386338</v>
      </c>
      <c r="AP199" s="67">
        <f t="shared" ref="AP199:BG199" si="139">AP188/AP$192</f>
        <v>0.1375685694674004</v>
      </c>
      <c r="AQ199" s="67">
        <f t="shared" si="139"/>
        <v>0.12773771421823901</v>
      </c>
      <c r="AR199" s="67">
        <f t="shared" si="139"/>
        <v>0.12265825434218866</v>
      </c>
      <c r="AS199" s="67">
        <f t="shared" si="139"/>
        <v>0.11867392325796504</v>
      </c>
      <c r="AT199" s="45">
        <f t="shared" si="139"/>
        <v>0.12628900335316898</v>
      </c>
      <c r="AU199" s="67">
        <f t="shared" si="139"/>
        <v>0.11679660245122278</v>
      </c>
      <c r="AV199" s="67">
        <f t="shared" si="139"/>
        <v>0.11725798808653547</v>
      </c>
      <c r="AW199" s="642">
        <f t="shared" si="139"/>
        <v>0.12230921844113163</v>
      </c>
      <c r="AX199" s="67">
        <f t="shared" si="139"/>
        <v>0.12202764254399892</v>
      </c>
      <c r="AY199" s="45">
        <f t="shared" si="139"/>
        <v>0.11965882325174816</v>
      </c>
      <c r="AZ199" s="67">
        <f t="shared" si="139"/>
        <v>0.12137940374565069</v>
      </c>
      <c r="BA199" s="67">
        <f t="shared" si="139"/>
        <v>0.1203726716871056</v>
      </c>
      <c r="BB199" s="67">
        <f t="shared" si="139"/>
        <v>0.11934758698414105</v>
      </c>
      <c r="BC199" s="67">
        <f t="shared" si="139"/>
        <v>0.11822600127988207</v>
      </c>
      <c r="BD199" s="45">
        <f t="shared" si="139"/>
        <v>0.11979384154571145</v>
      </c>
      <c r="BE199" s="45">
        <f t="shared" si="139"/>
        <v>0.11708094728101223</v>
      </c>
      <c r="BF199" s="45">
        <f t="shared" si="139"/>
        <v>0.11448128973221133</v>
      </c>
      <c r="BG199" s="45">
        <f t="shared" si="139"/>
        <v>0.11168219297014711</v>
      </c>
      <c r="BH199" s="67"/>
    </row>
    <row r="200" spans="1:60" s="416" customFormat="1" hidden="1" outlineLevel="1" x14ac:dyDescent="0.25">
      <c r="A200" s="66" t="s">
        <v>657</v>
      </c>
      <c r="B200" s="498"/>
      <c r="C200" s="342"/>
      <c r="D200" s="342"/>
      <c r="E200" s="342"/>
      <c r="F200" s="342"/>
      <c r="G200" s="333"/>
      <c r="H200" s="333"/>
      <c r="I200" s="333"/>
      <c r="J200" s="333"/>
      <c r="K200" s="342"/>
      <c r="L200" s="333"/>
      <c r="M200" s="333"/>
      <c r="N200" s="333"/>
      <c r="O200" s="333"/>
      <c r="P200" s="342"/>
      <c r="Q200" s="333"/>
      <c r="R200" s="333"/>
      <c r="S200" s="333"/>
      <c r="T200" s="333"/>
      <c r="U200" s="342"/>
      <c r="V200" s="333"/>
      <c r="W200" s="333"/>
      <c r="X200" s="333"/>
      <c r="Y200" s="333"/>
      <c r="Z200" s="342"/>
      <c r="AA200" s="332">
        <f t="shared" ref="AA200:AO200" si="140">AA189/AA$192</f>
        <v>4.4124044473353344E-2</v>
      </c>
      <c r="AB200" s="332">
        <f t="shared" si="140"/>
        <v>4.7307378591143159E-2</v>
      </c>
      <c r="AC200" s="332">
        <f t="shared" si="140"/>
        <v>5.0586309102037985E-2</v>
      </c>
      <c r="AD200" s="332">
        <f t="shared" si="140"/>
        <v>5.3815028813773397E-2</v>
      </c>
      <c r="AE200" s="341">
        <f t="shared" si="140"/>
        <v>4.9255292591206173E-2</v>
      </c>
      <c r="AF200" s="332">
        <f t="shared" si="140"/>
        <v>5.3802958018361144E-2</v>
      </c>
      <c r="AG200" s="332">
        <f t="shared" si="140"/>
        <v>5.6625725890455496E-2</v>
      </c>
      <c r="AH200" s="332">
        <f t="shared" si="140"/>
        <v>6.2182481558363888E-2</v>
      </c>
      <c r="AI200" s="332">
        <f t="shared" si="140"/>
        <v>6.6101387657185914E-2</v>
      </c>
      <c r="AJ200" s="341">
        <f t="shared" si="140"/>
        <v>5.9883220198930741E-2</v>
      </c>
      <c r="AK200" s="332">
        <f t="shared" si="140"/>
        <v>7.069289217941549E-2</v>
      </c>
      <c r="AL200" s="332">
        <f t="shared" si="140"/>
        <v>7.0990405263658227E-2</v>
      </c>
      <c r="AM200" s="332">
        <f t="shared" si="140"/>
        <v>7.2890548065217567E-2</v>
      </c>
      <c r="AN200" s="332">
        <f t="shared" si="140"/>
        <v>7.6474814327891286E-2</v>
      </c>
      <c r="AO200" s="341">
        <f t="shared" si="140"/>
        <v>7.2905755662195815E-2</v>
      </c>
      <c r="AP200" s="332">
        <f t="shared" ref="AP200:BG200" si="141">AP189/AP$192</f>
        <v>8.3856780815754525E-2</v>
      </c>
      <c r="AQ200" s="332">
        <f t="shared" si="141"/>
        <v>9.2568888304805585E-2</v>
      </c>
      <c r="AR200" s="332">
        <f t="shared" si="141"/>
        <v>9.8652394471596211E-2</v>
      </c>
      <c r="AS200" s="332">
        <f t="shared" si="141"/>
        <v>0.10303483723689667</v>
      </c>
      <c r="AT200" s="341">
        <f t="shared" si="141"/>
        <v>9.4906972523985389E-2</v>
      </c>
      <c r="AU200" s="332">
        <f t="shared" si="141"/>
        <v>0.10643361520599078</v>
      </c>
      <c r="AV200" s="332">
        <f t="shared" si="141"/>
        <v>0.10889461774717485</v>
      </c>
      <c r="AW200" s="676">
        <f t="shared" si="141"/>
        <v>0.11144593809259798</v>
      </c>
      <c r="AX200" s="332">
        <f t="shared" si="141"/>
        <v>0.11704021677805758</v>
      </c>
      <c r="AY200" s="341">
        <f t="shared" si="141"/>
        <v>0.1110612595033529</v>
      </c>
      <c r="AZ200" s="332">
        <f t="shared" si="141"/>
        <v>0.12309405644836091</v>
      </c>
      <c r="BA200" s="332">
        <f t="shared" si="141"/>
        <v>0.12748208658006835</v>
      </c>
      <c r="BB200" s="332">
        <f t="shared" si="141"/>
        <v>0.131997007526831</v>
      </c>
      <c r="BC200" s="332">
        <f t="shared" si="141"/>
        <v>0.13721315431802839</v>
      </c>
      <c r="BD200" s="341">
        <f t="shared" si="141"/>
        <v>0.13011460065990632</v>
      </c>
      <c r="BE200" s="341">
        <f t="shared" si="141"/>
        <v>0.14721836740988642</v>
      </c>
      <c r="BF200" s="341">
        <f t="shared" si="141"/>
        <v>0.16031038235907644</v>
      </c>
      <c r="BG200" s="341">
        <f t="shared" si="141"/>
        <v>0.17228275088986991</v>
      </c>
      <c r="BH200" s="67"/>
    </row>
    <row r="201" spans="1:60" s="735" customFormat="1" hidden="1" outlineLevel="1" x14ac:dyDescent="0.25">
      <c r="A201" s="180" t="s">
        <v>658</v>
      </c>
      <c r="B201" s="679"/>
      <c r="C201" s="98"/>
      <c r="D201" s="98"/>
      <c r="E201" s="98"/>
      <c r="F201" s="16">
        <f t="shared" ref="F201:Z201" si="142">F190/F$192</f>
        <v>0.68501436019684792</v>
      </c>
      <c r="G201" s="70">
        <f t="shared" si="142"/>
        <v>0.76240013047371924</v>
      </c>
      <c r="H201" s="70">
        <f t="shared" si="142"/>
        <v>0.78269395495674088</v>
      </c>
      <c r="I201" s="70">
        <f t="shared" si="142"/>
        <v>0.79939855280158478</v>
      </c>
      <c r="J201" s="70">
        <f t="shared" si="142"/>
        <v>0.81853934974430531</v>
      </c>
      <c r="K201" s="16">
        <f t="shared" si="142"/>
        <v>0.79179698447524571</v>
      </c>
      <c r="L201" s="70">
        <f t="shared" si="142"/>
        <v>0.83910261406877784</v>
      </c>
      <c r="M201" s="70">
        <f t="shared" si="142"/>
        <v>0.85472994396478086</v>
      </c>
      <c r="N201" s="70">
        <f t="shared" si="142"/>
        <v>0.86760836989652568</v>
      </c>
      <c r="O201" s="70">
        <f t="shared" si="142"/>
        <v>0.87910984368854095</v>
      </c>
      <c r="P201" s="16">
        <f t="shared" si="142"/>
        <v>0.86099749012472349</v>
      </c>
      <c r="Q201" s="70">
        <f t="shared" si="142"/>
        <v>0.88990095535712577</v>
      </c>
      <c r="R201" s="70">
        <f t="shared" si="142"/>
        <v>0.90027445834909103</v>
      </c>
      <c r="S201" s="70">
        <f t="shared" si="142"/>
        <v>0.90938329627722769</v>
      </c>
      <c r="T201" s="70">
        <f t="shared" si="142"/>
        <v>0.91718737060098188</v>
      </c>
      <c r="U201" s="16">
        <f t="shared" si="142"/>
        <v>0.90475168489290747</v>
      </c>
      <c r="V201" s="70">
        <f t="shared" si="142"/>
        <v>0.92606408627108039</v>
      </c>
      <c r="W201" s="70">
        <f t="shared" si="142"/>
        <v>0.93410044822259497</v>
      </c>
      <c r="X201" s="70">
        <f t="shared" si="142"/>
        <v>0.94219906837342615</v>
      </c>
      <c r="Y201" s="70">
        <f t="shared" si="142"/>
        <v>0.94897642460810938</v>
      </c>
      <c r="Z201" s="16">
        <f t="shared" si="142"/>
        <v>0.93859276120529489</v>
      </c>
      <c r="AA201" s="70">
        <f t="shared" ref="AA201:AO201" si="143">AA190/AA$192</f>
        <v>0.95433801038065558</v>
      </c>
      <c r="AB201" s="70">
        <f t="shared" si="143"/>
        <v>0.95880865809071658</v>
      </c>
      <c r="AC201" s="70">
        <f t="shared" si="143"/>
        <v>0.96307564276905544</v>
      </c>
      <c r="AD201" s="70">
        <f t="shared" si="143"/>
        <v>0.96799761394260986</v>
      </c>
      <c r="AE201" s="16">
        <f t="shared" si="143"/>
        <v>0.96147198686908675</v>
      </c>
      <c r="AF201" s="70">
        <f t="shared" si="143"/>
        <v>0.97331671375487183</v>
      </c>
      <c r="AG201" s="70">
        <f t="shared" si="143"/>
        <v>0.9762227847064574</v>
      </c>
      <c r="AH201" s="70">
        <f t="shared" si="143"/>
        <v>0.97780227605620273</v>
      </c>
      <c r="AI201" s="70">
        <f t="shared" si="143"/>
        <v>0.9796607991562134</v>
      </c>
      <c r="AJ201" s="16">
        <f t="shared" si="143"/>
        <v>0.97685316532041444</v>
      </c>
      <c r="AK201" s="70">
        <f t="shared" si="143"/>
        <v>0.98215258952017603</v>
      </c>
      <c r="AL201" s="70">
        <f t="shared" si="143"/>
        <v>0.98452199785664207</v>
      </c>
      <c r="AM201" s="70">
        <f t="shared" si="143"/>
        <v>0.98629584329935427</v>
      </c>
      <c r="AN201" s="70">
        <f t="shared" si="143"/>
        <v>0.98748005005638839</v>
      </c>
      <c r="AO201" s="16">
        <f t="shared" si="143"/>
        <v>0.98525449450490954</v>
      </c>
      <c r="AP201" s="70">
        <f t="shared" ref="AP201:BG201" si="144">AP190/AP$192</f>
        <v>0.9888468366283838</v>
      </c>
      <c r="AQ201" s="70">
        <f t="shared" si="144"/>
        <v>0.98998566429733426</v>
      </c>
      <c r="AR201" s="70">
        <f t="shared" si="144"/>
        <v>0.99085809221371557</v>
      </c>
      <c r="AS201" s="70">
        <f t="shared" si="144"/>
        <v>0.99177538158960521</v>
      </c>
      <c r="AT201" s="16">
        <f t="shared" si="144"/>
        <v>0.99042324917178926</v>
      </c>
      <c r="AU201" s="70">
        <f t="shared" si="144"/>
        <v>0.99307928963288061</v>
      </c>
      <c r="AV201" s="70">
        <f t="shared" si="144"/>
        <v>0.99369471450849023</v>
      </c>
      <c r="AW201" s="585">
        <f t="shared" si="144"/>
        <v>0.9940893706085695</v>
      </c>
      <c r="AX201" s="70">
        <f t="shared" si="144"/>
        <v>0.99455928183916098</v>
      </c>
      <c r="AY201" s="16">
        <f t="shared" si="144"/>
        <v>0.9938704781816301</v>
      </c>
      <c r="AZ201" s="70">
        <f t="shared" si="144"/>
        <v>0.99500876526360382</v>
      </c>
      <c r="BA201" s="70">
        <f t="shared" si="144"/>
        <v>0.99539030965305908</v>
      </c>
      <c r="BB201" s="70">
        <f t="shared" si="144"/>
        <v>0.99574363999701099</v>
      </c>
      <c r="BC201" s="70">
        <f t="shared" si="144"/>
        <v>0.99607338275739365</v>
      </c>
      <c r="BD201" s="16">
        <f t="shared" si="144"/>
        <v>0.99556672001834612</v>
      </c>
      <c r="BE201" s="16">
        <f t="shared" si="144"/>
        <v>0.99685743981770136</v>
      </c>
      <c r="BF201" s="16">
        <f t="shared" si="144"/>
        <v>0.99779135095382276</v>
      </c>
      <c r="BG201" s="16">
        <f t="shared" si="144"/>
        <v>0.99845128696272412</v>
      </c>
      <c r="BH201" s="70"/>
    </row>
    <row r="202" spans="1:60" s="416" customFormat="1" hidden="1" outlineLevel="1" x14ac:dyDescent="0.25">
      <c r="A202" s="330" t="s">
        <v>659</v>
      </c>
      <c r="B202" s="498"/>
      <c r="C202" s="342"/>
      <c r="D202" s="342"/>
      <c r="E202" s="342"/>
      <c r="F202" s="341">
        <f t="shared" ref="F202:Z202" si="145">F191/F$192</f>
        <v>0.31498563980315197</v>
      </c>
      <c r="G202" s="332">
        <f t="shared" si="145"/>
        <v>0.23759986952628079</v>
      </c>
      <c r="H202" s="332">
        <f t="shared" si="145"/>
        <v>0.21730604504325901</v>
      </c>
      <c r="I202" s="332">
        <f t="shared" si="145"/>
        <v>0.20060144719841519</v>
      </c>
      <c r="J202" s="332">
        <f t="shared" si="145"/>
        <v>0.18146065025569466</v>
      </c>
      <c r="K202" s="341">
        <f t="shared" si="145"/>
        <v>0.20820301552475426</v>
      </c>
      <c r="L202" s="332">
        <f t="shared" si="145"/>
        <v>0.16089738593122216</v>
      </c>
      <c r="M202" s="332">
        <f t="shared" si="145"/>
        <v>0.14527005603521914</v>
      </c>
      <c r="N202" s="332">
        <f t="shared" si="145"/>
        <v>0.13239163010347432</v>
      </c>
      <c r="O202" s="332">
        <f t="shared" si="145"/>
        <v>0.12089015631145901</v>
      </c>
      <c r="P202" s="341">
        <f t="shared" si="145"/>
        <v>0.13900250987527649</v>
      </c>
      <c r="Q202" s="332">
        <f t="shared" si="145"/>
        <v>0.11009904464287415</v>
      </c>
      <c r="R202" s="332">
        <f t="shared" si="145"/>
        <v>9.9725541650908925E-2</v>
      </c>
      <c r="S202" s="332">
        <f t="shared" si="145"/>
        <v>9.061670372277239E-2</v>
      </c>
      <c r="T202" s="332">
        <f t="shared" si="145"/>
        <v>8.2812629399018192E-2</v>
      </c>
      <c r="U202" s="341">
        <f t="shared" si="145"/>
        <v>9.5248315107092529E-2</v>
      </c>
      <c r="V202" s="332">
        <f t="shared" si="145"/>
        <v>7.3935913728919528E-2</v>
      </c>
      <c r="W202" s="332">
        <f t="shared" si="145"/>
        <v>6.5899551777404933E-2</v>
      </c>
      <c r="X202" s="332">
        <f t="shared" si="145"/>
        <v>5.7800931626573883E-2</v>
      </c>
      <c r="Y202" s="332">
        <f t="shared" si="145"/>
        <v>5.1023575391890598E-2</v>
      </c>
      <c r="Z202" s="341">
        <f t="shared" si="145"/>
        <v>6.1407238794705145E-2</v>
      </c>
      <c r="AA202" s="332">
        <f t="shared" ref="AA202:AO202" si="146">AA191/AA$192</f>
        <v>4.5661989619344354E-2</v>
      </c>
      <c r="AB202" s="332">
        <f t="shared" si="146"/>
        <v>4.1191341909283335E-2</v>
      </c>
      <c r="AC202" s="332">
        <f t="shared" si="146"/>
        <v>3.6924357230944581E-2</v>
      </c>
      <c r="AD202" s="332">
        <f t="shared" si="146"/>
        <v>3.2002386057390163E-2</v>
      </c>
      <c r="AE202" s="341">
        <f t="shared" si="146"/>
        <v>3.8528013130913252E-2</v>
      </c>
      <c r="AF202" s="332">
        <f t="shared" si="146"/>
        <v>2.6683286245128151E-2</v>
      </c>
      <c r="AG202" s="332">
        <f t="shared" si="146"/>
        <v>2.3777215293542552E-2</v>
      </c>
      <c r="AH202" s="332">
        <f t="shared" si="146"/>
        <v>2.2197723943797206E-2</v>
      </c>
      <c r="AI202" s="332">
        <f t="shared" si="146"/>
        <v>2.0339200843786511E-2</v>
      </c>
      <c r="AJ202" s="341">
        <f t="shared" si="146"/>
        <v>2.3146834679585556E-2</v>
      </c>
      <c r="AK202" s="332">
        <f t="shared" si="146"/>
        <v>1.7847410479823897E-2</v>
      </c>
      <c r="AL202" s="332">
        <f t="shared" si="146"/>
        <v>1.5478002143357988E-2</v>
      </c>
      <c r="AM202" s="332">
        <f t="shared" si="146"/>
        <v>1.3704156700645672E-2</v>
      </c>
      <c r="AN202" s="332">
        <f t="shared" si="146"/>
        <v>1.2519949943611575E-2</v>
      </c>
      <c r="AO202" s="341">
        <f t="shared" si="146"/>
        <v>1.4745505495090476E-2</v>
      </c>
      <c r="AP202" s="332">
        <f t="shared" ref="AP202:BG202" si="147">AP191/AP$192</f>
        <v>1.1153163371616129E-2</v>
      </c>
      <c r="AQ202" s="332">
        <f t="shared" si="147"/>
        <v>1.0014335702665749E-2</v>
      </c>
      <c r="AR202" s="332">
        <f t="shared" si="147"/>
        <v>9.1419077862844051E-3</v>
      </c>
      <c r="AS202" s="332">
        <f t="shared" si="147"/>
        <v>8.2246184103947299E-3</v>
      </c>
      <c r="AT202" s="341">
        <f t="shared" si="147"/>
        <v>9.5767508282106582E-3</v>
      </c>
      <c r="AU202" s="332">
        <f t="shared" si="147"/>
        <v>6.9207103671194295E-3</v>
      </c>
      <c r="AV202" s="332">
        <f t="shared" si="147"/>
        <v>6.3052854915097538E-3</v>
      </c>
      <c r="AW202" s="676">
        <f t="shared" si="147"/>
        <v>5.9106293914304685E-3</v>
      </c>
      <c r="AX202" s="332">
        <f t="shared" si="147"/>
        <v>5.4407181608389608E-3</v>
      </c>
      <c r="AY202" s="341">
        <f t="shared" si="147"/>
        <v>6.1295218183699028E-3</v>
      </c>
      <c r="AZ202" s="332">
        <f t="shared" si="147"/>
        <v>4.9912347363961088E-3</v>
      </c>
      <c r="BA202" s="332">
        <f t="shared" si="147"/>
        <v>4.6096903469408316E-3</v>
      </c>
      <c r="BB202" s="332">
        <f t="shared" si="147"/>
        <v>4.2563600029891548E-3</v>
      </c>
      <c r="BC202" s="332">
        <f t="shared" si="147"/>
        <v>3.9266172426063017E-3</v>
      </c>
      <c r="BD202" s="341">
        <f t="shared" si="147"/>
        <v>4.4332799816539266E-3</v>
      </c>
      <c r="BE202" s="341">
        <f t="shared" si="147"/>
        <v>3.1425601822985825E-3</v>
      </c>
      <c r="BF202" s="341">
        <f t="shared" si="147"/>
        <v>2.2086490461773042E-3</v>
      </c>
      <c r="BG202" s="341">
        <f t="shared" si="147"/>
        <v>1.5487130372759277E-3</v>
      </c>
      <c r="BH202" s="67"/>
    </row>
    <row r="203" spans="1:60" s="416" customFormat="1" hidden="1" outlineLevel="1" x14ac:dyDescent="0.25">
      <c r="A203" s="176" t="s">
        <v>761</v>
      </c>
      <c r="B203" s="679"/>
      <c r="C203" s="98"/>
      <c r="D203" s="98"/>
      <c r="E203" s="98"/>
      <c r="F203" s="16">
        <f t="shared" ref="F203:AK203" si="148">F201+F202</f>
        <v>0.99999999999999989</v>
      </c>
      <c r="G203" s="70">
        <f t="shared" si="148"/>
        <v>1</v>
      </c>
      <c r="H203" s="70">
        <f t="shared" si="148"/>
        <v>0.99999999999999989</v>
      </c>
      <c r="I203" s="70">
        <f t="shared" si="148"/>
        <v>1</v>
      </c>
      <c r="J203" s="70">
        <f t="shared" si="148"/>
        <v>1</v>
      </c>
      <c r="K203" s="16">
        <f t="shared" si="148"/>
        <v>1</v>
      </c>
      <c r="L203" s="70">
        <f t="shared" si="148"/>
        <v>1</v>
      </c>
      <c r="M203" s="70">
        <f t="shared" si="148"/>
        <v>1</v>
      </c>
      <c r="N203" s="70">
        <f t="shared" si="148"/>
        <v>1</v>
      </c>
      <c r="O203" s="70">
        <f t="shared" si="148"/>
        <v>1</v>
      </c>
      <c r="P203" s="16">
        <f t="shared" si="148"/>
        <v>1</v>
      </c>
      <c r="Q203" s="70">
        <f t="shared" si="148"/>
        <v>0.99999999999999989</v>
      </c>
      <c r="R203" s="70">
        <f t="shared" si="148"/>
        <v>1</v>
      </c>
      <c r="S203" s="70">
        <f t="shared" si="148"/>
        <v>1</v>
      </c>
      <c r="T203" s="70">
        <f t="shared" si="148"/>
        <v>1</v>
      </c>
      <c r="U203" s="16">
        <f t="shared" si="148"/>
        <v>1</v>
      </c>
      <c r="V203" s="70">
        <f t="shared" si="148"/>
        <v>0.99999999999999989</v>
      </c>
      <c r="W203" s="70">
        <f t="shared" si="148"/>
        <v>0.99999999999999989</v>
      </c>
      <c r="X203" s="70">
        <f t="shared" si="148"/>
        <v>1</v>
      </c>
      <c r="Y203" s="70">
        <f t="shared" si="148"/>
        <v>1</v>
      </c>
      <c r="Z203" s="16">
        <f t="shared" si="148"/>
        <v>1</v>
      </c>
      <c r="AA203" s="70">
        <f t="shared" si="148"/>
        <v>0.99999999999999989</v>
      </c>
      <c r="AB203" s="70">
        <f t="shared" si="148"/>
        <v>0.99999999999999989</v>
      </c>
      <c r="AC203" s="70">
        <f t="shared" si="148"/>
        <v>1</v>
      </c>
      <c r="AD203" s="70">
        <f t="shared" si="148"/>
        <v>1</v>
      </c>
      <c r="AE203" s="16">
        <f t="shared" si="148"/>
        <v>1</v>
      </c>
      <c r="AF203" s="70">
        <f t="shared" si="148"/>
        <v>1</v>
      </c>
      <c r="AG203" s="70">
        <f t="shared" si="148"/>
        <v>1</v>
      </c>
      <c r="AH203" s="70">
        <f t="shared" si="148"/>
        <v>0.99999999999999989</v>
      </c>
      <c r="AI203" s="70">
        <f t="shared" si="148"/>
        <v>0.99999999999999989</v>
      </c>
      <c r="AJ203" s="16">
        <f t="shared" si="148"/>
        <v>1</v>
      </c>
      <c r="AK203" s="70">
        <f t="shared" si="148"/>
        <v>0.99999999999999989</v>
      </c>
      <c r="AL203" s="70">
        <f t="shared" ref="AL203:BG203" si="149">AL201+AL202</f>
        <v>1</v>
      </c>
      <c r="AM203" s="70">
        <f t="shared" si="149"/>
        <v>0.99999999999999989</v>
      </c>
      <c r="AN203" s="70">
        <f t="shared" si="149"/>
        <v>1</v>
      </c>
      <c r="AO203" s="16">
        <f t="shared" si="149"/>
        <v>1</v>
      </c>
      <c r="AP203" s="70">
        <f t="shared" si="149"/>
        <v>0.99999999999999989</v>
      </c>
      <c r="AQ203" s="70">
        <f t="shared" si="149"/>
        <v>1</v>
      </c>
      <c r="AR203" s="70">
        <f t="shared" si="149"/>
        <v>1</v>
      </c>
      <c r="AS203" s="70">
        <f t="shared" si="149"/>
        <v>0.99999999999999989</v>
      </c>
      <c r="AT203" s="16">
        <f t="shared" si="149"/>
        <v>0.99999999999999989</v>
      </c>
      <c r="AU203" s="70">
        <f t="shared" si="149"/>
        <v>1</v>
      </c>
      <c r="AV203" s="70">
        <f t="shared" si="149"/>
        <v>1</v>
      </c>
      <c r="AW203" s="585">
        <f t="shared" si="149"/>
        <v>1</v>
      </c>
      <c r="AX203" s="70">
        <f t="shared" si="149"/>
        <v>0.99999999999999989</v>
      </c>
      <c r="AY203" s="16">
        <f t="shared" si="149"/>
        <v>1</v>
      </c>
      <c r="AZ203" s="70">
        <f t="shared" si="149"/>
        <v>0.99999999999999989</v>
      </c>
      <c r="BA203" s="70">
        <f t="shared" si="149"/>
        <v>0.99999999999999989</v>
      </c>
      <c r="BB203" s="70">
        <f t="shared" si="149"/>
        <v>1.0000000000000002</v>
      </c>
      <c r="BC203" s="70">
        <f t="shared" si="149"/>
        <v>1</v>
      </c>
      <c r="BD203" s="16">
        <f t="shared" si="149"/>
        <v>1</v>
      </c>
      <c r="BE203" s="16">
        <f t="shared" si="149"/>
        <v>1</v>
      </c>
      <c r="BF203" s="16">
        <f t="shared" si="149"/>
        <v>1</v>
      </c>
      <c r="BG203" s="16">
        <f t="shared" si="149"/>
        <v>1</v>
      </c>
      <c r="BH203" s="70"/>
    </row>
    <row r="204" spans="1:60" s="420" customFormat="1" collapsed="1" x14ac:dyDescent="0.25">
      <c r="A204" s="494"/>
      <c r="B204" s="493"/>
      <c r="C204" s="874"/>
      <c r="D204" s="874"/>
      <c r="E204" s="874"/>
      <c r="F204" s="874"/>
      <c r="G204" s="879"/>
      <c r="H204" s="879"/>
      <c r="I204" s="879"/>
      <c r="J204" s="879"/>
      <c r="K204" s="874"/>
      <c r="L204" s="879"/>
      <c r="M204" s="879"/>
      <c r="N204" s="879"/>
      <c r="O204" s="879"/>
      <c r="P204" s="874"/>
      <c r="Q204" s="879"/>
      <c r="R204" s="879"/>
      <c r="S204" s="879"/>
      <c r="T204" s="879"/>
      <c r="U204" s="874"/>
      <c r="V204" s="879"/>
      <c r="W204" s="879"/>
      <c r="X204" s="879"/>
      <c r="Y204" s="879"/>
      <c r="Z204" s="874"/>
      <c r="AA204" s="879"/>
      <c r="AB204" s="879"/>
      <c r="AC204" s="879"/>
      <c r="AD204" s="879"/>
      <c r="AE204" s="874"/>
      <c r="AF204" s="879"/>
      <c r="AG204" s="879"/>
      <c r="AH204" s="879"/>
      <c r="AI204" s="879"/>
      <c r="AJ204" s="874"/>
      <c r="AK204" s="879"/>
      <c r="AL204" s="879"/>
      <c r="AM204" s="879"/>
      <c r="AN204" s="879"/>
      <c r="AO204" s="874"/>
      <c r="AP204" s="879"/>
      <c r="AQ204" s="879"/>
      <c r="AR204" s="879"/>
      <c r="AS204" s="879"/>
      <c r="AT204" s="874"/>
      <c r="AU204" s="879"/>
      <c r="AV204" s="879"/>
      <c r="AW204" s="880"/>
      <c r="AX204" s="879"/>
      <c r="AY204" s="874"/>
      <c r="AZ204" s="879"/>
      <c r="BA204" s="879"/>
      <c r="BB204" s="879"/>
      <c r="BC204" s="879"/>
      <c r="BD204" s="874"/>
      <c r="BE204" s="874"/>
      <c r="BF204" s="874"/>
      <c r="BG204" s="874"/>
      <c r="BH204" s="824"/>
    </row>
    <row r="205" spans="1:60" s="57" customFormat="1" x14ac:dyDescent="0.25">
      <c r="A205" s="819" t="s">
        <v>675</v>
      </c>
      <c r="B205" s="819"/>
      <c r="C205" s="861"/>
      <c r="D205" s="861"/>
      <c r="E205" s="861"/>
      <c r="F205" s="861"/>
      <c r="G205" s="861"/>
      <c r="H205" s="861"/>
      <c r="I205" s="861"/>
      <c r="J205" s="861"/>
      <c r="K205" s="861"/>
      <c r="L205" s="861"/>
      <c r="M205" s="861"/>
      <c r="N205" s="861"/>
      <c r="O205" s="861"/>
      <c r="P205" s="861"/>
      <c r="Q205" s="861"/>
      <c r="R205" s="861"/>
      <c r="S205" s="861"/>
      <c r="T205" s="861"/>
      <c r="U205" s="861"/>
      <c r="V205" s="861"/>
      <c r="W205" s="861"/>
      <c r="X205" s="861"/>
      <c r="Y205" s="861"/>
      <c r="Z205" s="861"/>
      <c r="AA205" s="861"/>
      <c r="AB205" s="861"/>
      <c r="AC205" s="861"/>
      <c r="AD205" s="861"/>
      <c r="AE205" s="861"/>
      <c r="AF205" s="861"/>
      <c r="AG205" s="861"/>
      <c r="AH205" s="861"/>
      <c r="AI205" s="861"/>
      <c r="AJ205" s="861"/>
      <c r="AK205" s="861"/>
      <c r="AL205" s="861"/>
      <c r="AM205" s="861"/>
      <c r="AN205" s="861"/>
      <c r="AO205" s="861"/>
      <c r="AP205" s="861"/>
      <c r="AQ205" s="861"/>
      <c r="AR205" s="861"/>
      <c r="AS205" s="861"/>
      <c r="AT205" s="861"/>
      <c r="AU205" s="861"/>
      <c r="AV205" s="861"/>
      <c r="AW205" s="862"/>
      <c r="AX205" s="861"/>
      <c r="AY205" s="861"/>
      <c r="AZ205" s="861"/>
      <c r="BA205" s="861"/>
      <c r="BB205" s="861"/>
      <c r="BC205" s="861"/>
      <c r="BD205" s="861"/>
      <c r="BE205" s="861"/>
      <c r="BF205" s="861"/>
      <c r="BG205" s="861"/>
      <c r="BH205" s="824"/>
    </row>
    <row r="206" spans="1:60" s="630" customFormat="1" hidden="1" outlineLevel="1" x14ac:dyDescent="0.25">
      <c r="A206" s="494" t="s">
        <v>16</v>
      </c>
      <c r="B206" s="493"/>
      <c r="C206" s="874">
        <f t="shared" ref="C206:AV206" si="150">C334</f>
        <v>1670.269</v>
      </c>
      <c r="D206" s="874">
        <f t="shared" si="150"/>
        <v>2162.625</v>
      </c>
      <c r="E206" s="874">
        <f t="shared" si="150"/>
        <v>3204.5770000000002</v>
      </c>
      <c r="F206" s="874">
        <f t="shared" si="150"/>
        <v>3609.2820000000002</v>
      </c>
      <c r="G206" s="879">
        <f t="shared" si="150"/>
        <v>1023.961</v>
      </c>
      <c r="H206" s="879">
        <f t="shared" si="150"/>
        <v>1069.3720000000001</v>
      </c>
      <c r="I206" s="879">
        <f t="shared" si="150"/>
        <v>1105.999</v>
      </c>
      <c r="J206" s="879">
        <f t="shared" si="150"/>
        <v>1175.2299999999993</v>
      </c>
      <c r="K206" s="874">
        <f t="shared" si="150"/>
        <v>4374.5619999999999</v>
      </c>
      <c r="L206" s="879">
        <f t="shared" si="150"/>
        <v>1270.0889999999999</v>
      </c>
      <c r="M206" s="879">
        <f t="shared" si="150"/>
        <v>1340.4069999999999</v>
      </c>
      <c r="N206" s="879">
        <f t="shared" si="150"/>
        <v>1409.432</v>
      </c>
      <c r="O206" s="879">
        <f t="shared" si="150"/>
        <v>1484.7279999999998</v>
      </c>
      <c r="P206" s="874">
        <f t="shared" si="150"/>
        <v>5504.6559999999999</v>
      </c>
      <c r="Q206" s="879">
        <f t="shared" si="150"/>
        <v>1573.1289999999999</v>
      </c>
      <c r="R206" s="879">
        <f t="shared" si="150"/>
        <v>1644.694</v>
      </c>
      <c r="S206" s="879">
        <f t="shared" si="150"/>
        <v>1738.355</v>
      </c>
      <c r="T206" s="879">
        <f t="shared" si="150"/>
        <v>1823.3330000000005</v>
      </c>
      <c r="U206" s="874">
        <f t="shared" si="150"/>
        <v>6779.5110000000004</v>
      </c>
      <c r="V206" s="879">
        <f t="shared" si="150"/>
        <v>1957.7360000000001</v>
      </c>
      <c r="W206" s="879">
        <f t="shared" si="150"/>
        <v>2105.2040000000002</v>
      </c>
      <c r="X206" s="879">
        <f t="shared" si="150"/>
        <v>2290.1880000000001</v>
      </c>
      <c r="Y206" s="879">
        <f t="shared" si="150"/>
        <v>2477.5409999999993</v>
      </c>
      <c r="Z206" s="874">
        <f t="shared" si="150"/>
        <v>8830.6689999999999</v>
      </c>
      <c r="AA206" s="879">
        <f t="shared" si="150"/>
        <v>2636.6350000000002</v>
      </c>
      <c r="AB206" s="879">
        <f t="shared" si="150"/>
        <v>2785.4639999999999</v>
      </c>
      <c r="AC206" s="879">
        <f t="shared" si="150"/>
        <v>2984.8589999999999</v>
      </c>
      <c r="AD206" s="879">
        <f t="shared" si="150"/>
        <v>3285.7549999999997</v>
      </c>
      <c r="AE206" s="874">
        <f t="shared" si="150"/>
        <v>11692.713</v>
      </c>
      <c r="AF206" s="879">
        <f t="shared" si="150"/>
        <v>3700.8560000000002</v>
      </c>
      <c r="AG206" s="879">
        <f t="shared" si="150"/>
        <v>3907.27</v>
      </c>
      <c r="AH206" s="879">
        <f t="shared" si="150"/>
        <v>3999.3739999999998</v>
      </c>
      <c r="AI206" s="879">
        <f t="shared" si="150"/>
        <v>4186.8410000000003</v>
      </c>
      <c r="AJ206" s="874">
        <f t="shared" si="150"/>
        <v>15794.341</v>
      </c>
      <c r="AK206" s="879">
        <f t="shared" si="150"/>
        <v>4520.9920000000002</v>
      </c>
      <c r="AL206" s="879">
        <f t="shared" si="150"/>
        <v>4923.116</v>
      </c>
      <c r="AM206" s="879">
        <f t="shared" si="150"/>
        <v>5244.9049999999997</v>
      </c>
      <c r="AN206" s="879">
        <f t="shared" si="150"/>
        <v>5467.4340000000002</v>
      </c>
      <c r="AO206" s="874">
        <f t="shared" si="150"/>
        <v>20156.447</v>
      </c>
      <c r="AP206" s="879">
        <f t="shared" si="150"/>
        <v>5767.6909999999998</v>
      </c>
      <c r="AQ206" s="879">
        <f t="shared" si="150"/>
        <v>6148.2860000000001</v>
      </c>
      <c r="AR206" s="879">
        <f t="shared" si="150"/>
        <v>6435.6369999999997</v>
      </c>
      <c r="AS206" s="879">
        <f t="shared" si="150"/>
        <v>6644.4420000000018</v>
      </c>
      <c r="AT206" s="874">
        <f t="shared" si="150"/>
        <v>24996.056</v>
      </c>
      <c r="AU206" s="879">
        <f t="shared" si="150"/>
        <v>7163.2820000000002</v>
      </c>
      <c r="AV206" s="879">
        <f t="shared" si="150"/>
        <v>7341.777</v>
      </c>
      <c r="AW206" s="880">
        <f>AW334</f>
        <v>7483.4669999999996</v>
      </c>
      <c r="AX206" s="879">
        <f>AX379</f>
        <v>7723.3186424640007</v>
      </c>
      <c r="AY206" s="874">
        <f>SUM(AU206,AV206,AW206,AX206)</f>
        <v>29711.844642464002</v>
      </c>
      <c r="AZ206" s="879">
        <f t="shared" ref="AZ206:BG206" si="151">AZ379</f>
        <v>7997.8967346311483</v>
      </c>
      <c r="BA206" s="879">
        <f t="shared" si="151"/>
        <v>8226.8890415095739</v>
      </c>
      <c r="BB206" s="879">
        <f t="shared" si="151"/>
        <v>8464.3311244111865</v>
      </c>
      <c r="BC206" s="879">
        <f t="shared" si="151"/>
        <v>8716.3775618686177</v>
      </c>
      <c r="BD206" s="874">
        <f>SUM(AZ206,BA206,BB206,BC206)</f>
        <v>33405.494462420524</v>
      </c>
      <c r="BE206" s="874">
        <f t="shared" si="151"/>
        <v>37700.702939391864</v>
      </c>
      <c r="BF206" s="874">
        <f t="shared" si="151"/>
        <v>42913.736107439145</v>
      </c>
      <c r="BG206" s="874">
        <f t="shared" si="151"/>
        <v>48960.074611789147</v>
      </c>
      <c r="BH206" s="824"/>
    </row>
    <row r="207" spans="1:60" s="420" customFormat="1" hidden="1" outlineLevel="1" x14ac:dyDescent="0.25">
      <c r="A207" s="494"/>
      <c r="B207" s="493"/>
      <c r="C207" s="874"/>
      <c r="D207" s="874"/>
      <c r="E207" s="874"/>
      <c r="F207" s="874"/>
      <c r="G207" s="879"/>
      <c r="H207" s="879"/>
      <c r="I207" s="879"/>
      <c r="J207" s="879"/>
      <c r="K207" s="874"/>
      <c r="L207" s="879"/>
      <c r="M207" s="879"/>
      <c r="N207" s="879"/>
      <c r="O207" s="879"/>
      <c r="P207" s="874"/>
      <c r="Q207" s="879"/>
      <c r="R207" s="879"/>
      <c r="S207" s="879"/>
      <c r="T207" s="879"/>
      <c r="U207" s="874"/>
      <c r="V207" s="879"/>
      <c r="W207" s="879"/>
      <c r="X207" s="879"/>
      <c r="Y207" s="879"/>
      <c r="Z207" s="874"/>
      <c r="AA207" s="879"/>
      <c r="AB207" s="879"/>
      <c r="AC207" s="879"/>
      <c r="AD207" s="879"/>
      <c r="AE207" s="874"/>
      <c r="AF207" s="879"/>
      <c r="AG207" s="879"/>
      <c r="AH207" s="879"/>
      <c r="AI207" s="879"/>
      <c r="AJ207" s="874"/>
      <c r="AK207" s="879"/>
      <c r="AL207" s="879"/>
      <c r="AM207" s="879"/>
      <c r="AN207" s="879"/>
      <c r="AO207" s="874"/>
      <c r="AP207" s="879"/>
      <c r="AQ207" s="879"/>
      <c r="AR207" s="879"/>
      <c r="AS207" s="879"/>
      <c r="AT207" s="874"/>
      <c r="AU207" s="879"/>
      <c r="AV207" s="879"/>
      <c r="AW207" s="880"/>
      <c r="AX207" s="879"/>
      <c r="AY207" s="874"/>
      <c r="AZ207" s="879"/>
      <c r="BA207" s="879"/>
      <c r="BB207" s="879"/>
      <c r="BC207" s="879"/>
      <c r="BD207" s="874"/>
      <c r="BE207" s="874"/>
      <c r="BF207" s="874"/>
      <c r="BG207" s="874"/>
      <c r="BH207" s="824"/>
    </row>
    <row r="208" spans="1:60" s="420" customFormat="1" hidden="1" outlineLevel="1" x14ac:dyDescent="0.25">
      <c r="A208" s="178" t="s">
        <v>31</v>
      </c>
      <c r="B208" s="442"/>
      <c r="C208" s="864">
        <f t="shared" ref="C208:AX208" si="152">-C243</f>
        <v>219.49</v>
      </c>
      <c r="D208" s="864">
        <f t="shared" si="152"/>
        <v>300.596</v>
      </c>
      <c r="E208" s="864">
        <f t="shared" si="152"/>
        <v>795.87200000000007</v>
      </c>
      <c r="F208" s="864">
        <f t="shared" si="152"/>
        <v>1656.614</v>
      </c>
      <c r="G208" s="867">
        <f t="shared" si="152"/>
        <v>503.97700000000003</v>
      </c>
      <c r="H208" s="867">
        <f t="shared" si="152"/>
        <v>527.95899999999995</v>
      </c>
      <c r="I208" s="867">
        <f t="shared" si="152"/>
        <v>570.94000000000005</v>
      </c>
      <c r="J208" s="867">
        <f t="shared" si="152"/>
        <v>590.43000000000018</v>
      </c>
      <c r="K208" s="864">
        <f t="shared" si="152"/>
        <v>2193.306</v>
      </c>
      <c r="L208" s="867">
        <f t="shared" si="152"/>
        <v>616.85599999999999</v>
      </c>
      <c r="M208" s="867">
        <f t="shared" si="152"/>
        <v>655.95999999999992</v>
      </c>
      <c r="N208" s="867">
        <f t="shared" si="152"/>
        <v>704.423</v>
      </c>
      <c r="O208" s="867">
        <f t="shared" si="152"/>
        <v>750.53100000000006</v>
      </c>
      <c r="P208" s="864">
        <f t="shared" si="152"/>
        <v>2727.77</v>
      </c>
      <c r="Q208" s="867">
        <f t="shared" si="152"/>
        <v>770.70299999999997</v>
      </c>
      <c r="R208" s="867">
        <f t="shared" si="152"/>
        <v>843.4129999999999</v>
      </c>
      <c r="S208" s="867">
        <f t="shared" si="152"/>
        <v>889.9920000000003</v>
      </c>
      <c r="T208" s="867">
        <f t="shared" si="152"/>
        <v>980.65399999999988</v>
      </c>
      <c r="U208" s="864">
        <f t="shared" si="152"/>
        <v>3484.7620000000002</v>
      </c>
      <c r="V208" s="867">
        <f t="shared" si="152"/>
        <v>1078.962</v>
      </c>
      <c r="W208" s="867">
        <f t="shared" si="152"/>
        <v>1195.3820000000001</v>
      </c>
      <c r="X208" s="867">
        <f t="shared" si="152"/>
        <v>1243.3919999999998</v>
      </c>
      <c r="Y208" s="867">
        <f t="shared" si="152"/>
        <v>1349.7139999999997</v>
      </c>
      <c r="Z208" s="864">
        <f t="shared" si="152"/>
        <v>4867.45</v>
      </c>
      <c r="AA208" s="867">
        <f t="shared" si="152"/>
        <v>1324.2809999999999</v>
      </c>
      <c r="AB208" s="867">
        <f t="shared" si="152"/>
        <v>1567.3049999999998</v>
      </c>
      <c r="AC208" s="867">
        <f t="shared" si="152"/>
        <v>1640.7359999999999</v>
      </c>
      <c r="AD208" s="867">
        <f t="shared" si="152"/>
        <v>1726.1520000000003</v>
      </c>
      <c r="AE208" s="864">
        <f t="shared" si="152"/>
        <v>6258.4740000000002</v>
      </c>
      <c r="AF208" s="867">
        <f t="shared" si="152"/>
        <v>1759.9780000000001</v>
      </c>
      <c r="AG208" s="867">
        <f t="shared" si="152"/>
        <v>1828.971</v>
      </c>
      <c r="AH208" s="867">
        <f t="shared" si="152"/>
        <v>1921.7259999999999</v>
      </c>
      <c r="AI208" s="867">
        <f t="shared" si="152"/>
        <v>2062.625</v>
      </c>
      <c r="AJ208" s="864">
        <f t="shared" si="152"/>
        <v>7573.3</v>
      </c>
      <c r="AK208" s="867">
        <f t="shared" si="152"/>
        <v>2124.6860000000001</v>
      </c>
      <c r="AL208" s="867">
        <f t="shared" si="152"/>
        <v>2231.9149999999995</v>
      </c>
      <c r="AM208" s="867">
        <f t="shared" si="152"/>
        <v>2279.9770000000008</v>
      </c>
      <c r="AN208" s="867">
        <f t="shared" si="152"/>
        <v>2579.668999999999</v>
      </c>
      <c r="AO208" s="864">
        <f t="shared" si="152"/>
        <v>9216.2469999999994</v>
      </c>
      <c r="AP208" s="867">
        <f t="shared" si="152"/>
        <v>2483.3850000000002</v>
      </c>
      <c r="AQ208" s="867">
        <f t="shared" si="152"/>
        <v>2607.1589999999997</v>
      </c>
      <c r="AR208" s="867">
        <f t="shared" si="152"/>
        <v>2733.7430000000004</v>
      </c>
      <c r="AS208" s="867">
        <f t="shared" si="152"/>
        <v>2982.625</v>
      </c>
      <c r="AT208" s="864">
        <f t="shared" si="152"/>
        <v>10806.912</v>
      </c>
      <c r="AU208" s="867">
        <f t="shared" si="152"/>
        <v>2719.1959999999999</v>
      </c>
      <c r="AV208" s="867">
        <f t="shared" si="152"/>
        <v>2806.8029999999999</v>
      </c>
      <c r="AW208" s="868">
        <f t="shared" si="152"/>
        <v>2963.0509999999995</v>
      </c>
      <c r="AX208" s="867">
        <f t="shared" si="152"/>
        <v>3468.9473054794516</v>
      </c>
      <c r="AY208" s="864">
        <f>SUM(AU208,AV208,AW208,AX208)</f>
        <v>11957.99730547945</v>
      </c>
      <c r="AZ208" s="867">
        <f>-AZ243</f>
        <v>3128.3487144601236</v>
      </c>
      <c r="BA208" s="867">
        <f>-BA243</f>
        <v>3180.8201260764636</v>
      </c>
      <c r="BB208" s="867">
        <f>-BB243</f>
        <v>3302.4950436107956</v>
      </c>
      <c r="BC208" s="867">
        <f>-BC243</f>
        <v>3376.3350203638879</v>
      </c>
      <c r="BD208" s="864">
        <f>SUM(AZ208,BA208,BB208,BC208)</f>
        <v>12987.998904511271</v>
      </c>
      <c r="BE208" s="864">
        <f>-BE243</f>
        <v>13657.181491803896</v>
      </c>
      <c r="BF208" s="864">
        <f>-BF243</f>
        <v>14641.165265246258</v>
      </c>
      <c r="BG208" s="864">
        <f>-BG243</f>
        <v>15211.87585384283</v>
      </c>
      <c r="BH208" s="821"/>
    </row>
    <row r="209" spans="1:60" s="420" customFormat="1" hidden="1" outlineLevel="1" x14ac:dyDescent="0.25">
      <c r="A209" s="334" t="s">
        <v>706</v>
      </c>
      <c r="B209" s="335"/>
      <c r="C209" s="881">
        <f t="shared" ref="C209:AW209" si="153">C210-C208</f>
        <v>859.78099999999995</v>
      </c>
      <c r="D209" s="881">
        <f t="shared" si="153"/>
        <v>1056.759</v>
      </c>
      <c r="E209" s="881">
        <f t="shared" si="153"/>
        <v>1244.029</v>
      </c>
      <c r="F209" s="881">
        <f t="shared" si="153"/>
        <v>995.44399999999996</v>
      </c>
      <c r="G209" s="882">
        <f t="shared" si="153"/>
        <v>232.97499999999997</v>
      </c>
      <c r="H209" s="882">
        <f t="shared" si="153"/>
        <v>232.71500000000003</v>
      </c>
      <c r="I209" s="882">
        <f t="shared" si="153"/>
        <v>227.95999999999992</v>
      </c>
      <c r="J209" s="882">
        <f t="shared" si="153"/>
        <v>230.24700000000007</v>
      </c>
      <c r="K209" s="881">
        <f t="shared" si="153"/>
        <v>923.89699999999993</v>
      </c>
      <c r="L209" s="882">
        <f t="shared" si="153"/>
        <v>252.33000000000004</v>
      </c>
      <c r="M209" s="882">
        <f t="shared" si="153"/>
        <v>258.88800000000003</v>
      </c>
      <c r="N209" s="882">
        <f t="shared" si="153"/>
        <v>249.971</v>
      </c>
      <c r="O209" s="882">
        <f t="shared" si="153"/>
        <v>263.80100000000004</v>
      </c>
      <c r="P209" s="881">
        <f t="shared" si="153"/>
        <v>1024.9900000000002</v>
      </c>
      <c r="Q209" s="882">
        <f t="shared" si="153"/>
        <v>275.69800000000009</v>
      </c>
      <c r="R209" s="882">
        <f t="shared" si="153"/>
        <v>278.33900000000006</v>
      </c>
      <c r="S209" s="882">
        <f t="shared" si="153"/>
        <v>283.96599999999978</v>
      </c>
      <c r="T209" s="882">
        <f t="shared" si="153"/>
        <v>268.7109999999999</v>
      </c>
      <c r="U209" s="881">
        <f t="shared" si="153"/>
        <v>1106.7139999999995</v>
      </c>
      <c r="V209" s="882">
        <f t="shared" si="153"/>
        <v>339.61899999999991</v>
      </c>
      <c r="W209" s="882">
        <f t="shared" si="153"/>
        <v>330.01499999999987</v>
      </c>
      <c r="X209" s="882">
        <f t="shared" si="153"/>
        <v>350.3760000000002</v>
      </c>
      <c r="Y209" s="882">
        <f t="shared" si="153"/>
        <v>370.00200000000018</v>
      </c>
      <c r="Z209" s="881">
        <f t="shared" si="153"/>
        <v>1390.0120000000006</v>
      </c>
      <c r="AA209" s="882">
        <f t="shared" si="153"/>
        <v>416.45000000000005</v>
      </c>
      <c r="AB209" s="882">
        <f t="shared" si="153"/>
        <v>424.39100000000008</v>
      </c>
      <c r="AC209" s="882">
        <f t="shared" si="153"/>
        <v>445.50300000000016</v>
      </c>
      <c r="AD209" s="882">
        <f t="shared" si="153"/>
        <v>488.18199999999956</v>
      </c>
      <c r="AE209" s="881">
        <f t="shared" si="153"/>
        <v>1774.5259999999998</v>
      </c>
      <c r="AF209" s="882">
        <f t="shared" si="153"/>
        <v>540.60100000000011</v>
      </c>
      <c r="AG209" s="882">
        <f t="shared" si="153"/>
        <v>573.46</v>
      </c>
      <c r="AH209" s="882">
        <f t="shared" si="153"/>
        <v>609.40200000000027</v>
      </c>
      <c r="AI209" s="882">
        <f t="shared" si="153"/>
        <v>670.77500000000009</v>
      </c>
      <c r="AJ209" s="881">
        <f t="shared" si="153"/>
        <v>2394.2380000000003</v>
      </c>
      <c r="AK209" s="882">
        <f t="shared" si="153"/>
        <v>745.92799999999988</v>
      </c>
      <c r="AL209" s="882">
        <f t="shared" si="153"/>
        <v>773.74200000000064</v>
      </c>
      <c r="AM209" s="882">
        <f t="shared" si="153"/>
        <v>817.9419999999991</v>
      </c>
      <c r="AN209" s="882">
        <f t="shared" si="153"/>
        <v>886.35400000000118</v>
      </c>
      <c r="AO209" s="881">
        <f t="shared" si="153"/>
        <v>3223.9660000000003</v>
      </c>
      <c r="AP209" s="882">
        <f t="shared" si="153"/>
        <v>1116.3159999999998</v>
      </c>
      <c r="AQ209" s="882">
        <f t="shared" si="153"/>
        <v>1036.5480000000002</v>
      </c>
      <c r="AR209" s="882">
        <f t="shared" si="153"/>
        <v>1134.0079999999998</v>
      </c>
      <c r="AS209" s="882">
        <f t="shared" si="153"/>
        <v>1182.534999999998</v>
      </c>
      <c r="AT209" s="881">
        <f t="shared" si="153"/>
        <v>4469.4069999999992</v>
      </c>
      <c r="AU209" s="882">
        <f t="shared" si="153"/>
        <v>1149.3150000000001</v>
      </c>
      <c r="AV209" s="882">
        <f t="shared" si="153"/>
        <v>1211.2049999999999</v>
      </c>
      <c r="AW209" s="883">
        <f t="shared" si="153"/>
        <v>1243.5380000000005</v>
      </c>
      <c r="AX209" s="882">
        <f>AX206*AX211</f>
        <v>1567.6294834164282</v>
      </c>
      <c r="AY209" s="881">
        <f>SUM(AU209,AV209,AW209,AX209)</f>
        <v>5171.6874834164282</v>
      </c>
      <c r="AZ209" s="882">
        <f>AZ206*AZ211</f>
        <v>1203.2460523531222</v>
      </c>
      <c r="BA209" s="882">
        <f>BA206*BA211</f>
        <v>1274.9569067620184</v>
      </c>
      <c r="BB209" s="882">
        <f>BB206*BB211</f>
        <v>1321.8862288458013</v>
      </c>
      <c r="BC209" s="882">
        <f>BC206*BC211</f>
        <v>1551.2847489863386</v>
      </c>
      <c r="BD209" s="881">
        <f>SUM(AZ209,BA209,BB209,BC209)</f>
        <v>5351.3739369472805</v>
      </c>
      <c r="BE209" s="881">
        <f>BE206*BE211</f>
        <v>5964.0409781102462</v>
      </c>
      <c r="BF209" s="881">
        <f>BF206*BF211</f>
        <v>6702.8862841314585</v>
      </c>
      <c r="BG209" s="881">
        <f>BG206*BG211</f>
        <v>7549.3704936558006</v>
      </c>
      <c r="BH209" s="821"/>
    </row>
    <row r="210" spans="1:60" s="420" customFormat="1" hidden="1" outlineLevel="1" x14ac:dyDescent="0.25">
      <c r="A210" s="494" t="s">
        <v>21</v>
      </c>
      <c r="B210" s="493"/>
      <c r="C210" s="874">
        <f t="shared" ref="C210:AV210" si="154">C337</f>
        <v>1079.271</v>
      </c>
      <c r="D210" s="874">
        <f t="shared" si="154"/>
        <v>1357.355</v>
      </c>
      <c r="E210" s="874">
        <f t="shared" si="154"/>
        <v>2039.9010000000001</v>
      </c>
      <c r="F210" s="874">
        <f t="shared" si="154"/>
        <v>2652.058</v>
      </c>
      <c r="G210" s="879">
        <f t="shared" si="154"/>
        <v>736.952</v>
      </c>
      <c r="H210" s="879">
        <f t="shared" si="154"/>
        <v>760.67399999999998</v>
      </c>
      <c r="I210" s="879">
        <f t="shared" si="154"/>
        <v>798.9</v>
      </c>
      <c r="J210" s="879">
        <f t="shared" si="154"/>
        <v>820.67700000000025</v>
      </c>
      <c r="K210" s="874">
        <f t="shared" si="154"/>
        <v>3117.203</v>
      </c>
      <c r="L210" s="879">
        <f t="shared" si="154"/>
        <v>869.18600000000004</v>
      </c>
      <c r="M210" s="879">
        <f t="shared" si="154"/>
        <v>914.84799999999996</v>
      </c>
      <c r="N210" s="879">
        <f t="shared" si="154"/>
        <v>954.39400000000001</v>
      </c>
      <c r="O210" s="879">
        <f t="shared" si="154"/>
        <v>1014.3320000000001</v>
      </c>
      <c r="P210" s="874">
        <f t="shared" si="154"/>
        <v>3752.76</v>
      </c>
      <c r="Q210" s="879">
        <f t="shared" si="154"/>
        <v>1046.4010000000001</v>
      </c>
      <c r="R210" s="879">
        <f t="shared" si="154"/>
        <v>1121.752</v>
      </c>
      <c r="S210" s="879">
        <f t="shared" si="154"/>
        <v>1173.9580000000001</v>
      </c>
      <c r="T210" s="879">
        <f t="shared" si="154"/>
        <v>1249.3649999999998</v>
      </c>
      <c r="U210" s="874">
        <f t="shared" si="154"/>
        <v>4591.4759999999997</v>
      </c>
      <c r="V210" s="879">
        <f t="shared" si="154"/>
        <v>1418.5809999999999</v>
      </c>
      <c r="W210" s="879">
        <f t="shared" si="154"/>
        <v>1525.3969999999999</v>
      </c>
      <c r="X210" s="879">
        <f t="shared" si="154"/>
        <v>1593.768</v>
      </c>
      <c r="Y210" s="879">
        <f t="shared" si="154"/>
        <v>1719.7159999999999</v>
      </c>
      <c r="Z210" s="874">
        <f t="shared" si="154"/>
        <v>6257.4620000000004</v>
      </c>
      <c r="AA210" s="879">
        <f t="shared" si="154"/>
        <v>1740.731</v>
      </c>
      <c r="AB210" s="879">
        <f t="shared" si="154"/>
        <v>1991.6959999999999</v>
      </c>
      <c r="AC210" s="879">
        <f t="shared" si="154"/>
        <v>2086.239</v>
      </c>
      <c r="AD210" s="879">
        <f t="shared" si="154"/>
        <v>2214.3339999999998</v>
      </c>
      <c r="AE210" s="874">
        <f t="shared" si="154"/>
        <v>8033</v>
      </c>
      <c r="AF210" s="879">
        <f t="shared" si="154"/>
        <v>2300.5790000000002</v>
      </c>
      <c r="AG210" s="879">
        <f t="shared" si="154"/>
        <v>2402.431</v>
      </c>
      <c r="AH210" s="879">
        <f t="shared" si="154"/>
        <v>2531.1280000000002</v>
      </c>
      <c r="AI210" s="879">
        <f t="shared" si="154"/>
        <v>2733.4</v>
      </c>
      <c r="AJ210" s="874">
        <f t="shared" si="154"/>
        <v>9967.5380000000005</v>
      </c>
      <c r="AK210" s="879">
        <f t="shared" si="154"/>
        <v>2870.614</v>
      </c>
      <c r="AL210" s="879">
        <f t="shared" si="154"/>
        <v>3005.6570000000002</v>
      </c>
      <c r="AM210" s="879">
        <f t="shared" si="154"/>
        <v>3097.9189999999999</v>
      </c>
      <c r="AN210" s="879">
        <f t="shared" si="154"/>
        <v>3466.0230000000001</v>
      </c>
      <c r="AO210" s="874">
        <f t="shared" si="154"/>
        <v>12440.213</v>
      </c>
      <c r="AP210" s="879">
        <f t="shared" si="154"/>
        <v>3599.701</v>
      </c>
      <c r="AQ210" s="879">
        <f t="shared" si="154"/>
        <v>3643.7069999999999</v>
      </c>
      <c r="AR210" s="879">
        <f t="shared" si="154"/>
        <v>3867.7510000000002</v>
      </c>
      <c r="AS210" s="879">
        <f t="shared" si="154"/>
        <v>4165.159999999998</v>
      </c>
      <c r="AT210" s="874">
        <f t="shared" si="154"/>
        <v>15276.319</v>
      </c>
      <c r="AU210" s="879">
        <f t="shared" si="154"/>
        <v>3868.511</v>
      </c>
      <c r="AV210" s="879">
        <f t="shared" si="154"/>
        <v>4018.0079999999998</v>
      </c>
      <c r="AW210" s="880">
        <f>AW337</f>
        <v>4206.5889999999999</v>
      </c>
      <c r="AX210" s="879">
        <f t="shared" ref="AX210:BG210" si="155">AX208+AX209</f>
        <v>5036.5767888958799</v>
      </c>
      <c r="AY210" s="874">
        <f t="shared" si="155"/>
        <v>17129.68478889588</v>
      </c>
      <c r="AZ210" s="879">
        <f t="shared" si="155"/>
        <v>4331.5947668132458</v>
      </c>
      <c r="BA210" s="879">
        <f t="shared" si="155"/>
        <v>4455.7770328384822</v>
      </c>
      <c r="BB210" s="879">
        <f t="shared" si="155"/>
        <v>4624.3812724565969</v>
      </c>
      <c r="BC210" s="879">
        <f t="shared" si="155"/>
        <v>4927.6197693502263</v>
      </c>
      <c r="BD210" s="874">
        <f t="shared" si="155"/>
        <v>18339.372841458549</v>
      </c>
      <c r="BE210" s="874">
        <f t="shared" si="155"/>
        <v>19621.222469914144</v>
      </c>
      <c r="BF210" s="874">
        <f t="shared" si="155"/>
        <v>21344.051549377717</v>
      </c>
      <c r="BG210" s="874">
        <f t="shared" si="155"/>
        <v>22761.246347498629</v>
      </c>
      <c r="BH210" s="824"/>
    </row>
    <row r="211" spans="1:60" s="416" customFormat="1" hidden="1" outlineLevel="1" x14ac:dyDescent="0.25">
      <c r="A211" s="526" t="s">
        <v>707</v>
      </c>
      <c r="B211" s="496"/>
      <c r="C211" s="325">
        <f t="shared" ref="C211:AW211" si="156">C209/C206</f>
        <v>0.51475600636783647</v>
      </c>
      <c r="D211" s="325">
        <f t="shared" si="156"/>
        <v>0.48864643662216056</v>
      </c>
      <c r="E211" s="325">
        <f t="shared" si="156"/>
        <v>0.38820380973838353</v>
      </c>
      <c r="F211" s="325">
        <f t="shared" si="156"/>
        <v>0.27580111501401106</v>
      </c>
      <c r="G211" s="168">
        <f t="shared" si="156"/>
        <v>0.22752331387621205</v>
      </c>
      <c r="H211" s="168">
        <f t="shared" si="156"/>
        <v>0.21761837788907884</v>
      </c>
      <c r="I211" s="168">
        <f t="shared" si="156"/>
        <v>0.20611230209068898</v>
      </c>
      <c r="J211" s="168">
        <f t="shared" si="156"/>
        <v>0.19591654399564357</v>
      </c>
      <c r="K211" s="325">
        <f t="shared" si="156"/>
        <v>0.21119760103982982</v>
      </c>
      <c r="L211" s="168">
        <f t="shared" si="156"/>
        <v>0.19867111674851137</v>
      </c>
      <c r="M211" s="168">
        <f t="shared" si="156"/>
        <v>0.19314133692229304</v>
      </c>
      <c r="N211" s="168">
        <f t="shared" si="156"/>
        <v>0.17735584263731774</v>
      </c>
      <c r="O211" s="168">
        <f t="shared" si="156"/>
        <v>0.17767631512303941</v>
      </c>
      <c r="P211" s="325">
        <f t="shared" si="156"/>
        <v>0.18620418787295703</v>
      </c>
      <c r="Q211" s="168">
        <f t="shared" si="156"/>
        <v>0.17525454047315897</v>
      </c>
      <c r="R211" s="168">
        <f t="shared" si="156"/>
        <v>0.16923452022078275</v>
      </c>
      <c r="S211" s="168">
        <f t="shared" si="156"/>
        <v>0.16335328514601435</v>
      </c>
      <c r="T211" s="168">
        <f t="shared" si="156"/>
        <v>0.14737351871545121</v>
      </c>
      <c r="U211" s="325">
        <f t="shared" si="156"/>
        <v>0.16324392717999858</v>
      </c>
      <c r="V211" s="168">
        <f t="shared" si="156"/>
        <v>0.17347538176751098</v>
      </c>
      <c r="W211" s="168">
        <f t="shared" si="156"/>
        <v>0.1567615299989929</v>
      </c>
      <c r="X211" s="168">
        <f t="shared" si="156"/>
        <v>0.15299006020466449</v>
      </c>
      <c r="Y211" s="168">
        <f t="shared" si="156"/>
        <v>0.14934243267820807</v>
      </c>
      <c r="Z211" s="325">
        <f t="shared" si="156"/>
        <v>0.15740732667026708</v>
      </c>
      <c r="AA211" s="168">
        <f t="shared" si="156"/>
        <v>0.15794753540023554</v>
      </c>
      <c r="AB211" s="168">
        <f t="shared" si="156"/>
        <v>0.15235917606545987</v>
      </c>
      <c r="AC211" s="168">
        <f t="shared" si="156"/>
        <v>0.14925428638337696</v>
      </c>
      <c r="AD211" s="168">
        <f t="shared" si="156"/>
        <v>0.14857528939315306</v>
      </c>
      <c r="AE211" s="325">
        <f t="shared" si="156"/>
        <v>0.15176341025389059</v>
      </c>
      <c r="AF211" s="168">
        <f t="shared" si="156"/>
        <v>0.14607458382601216</v>
      </c>
      <c r="AG211" s="168">
        <f t="shared" si="156"/>
        <v>0.14676743608708895</v>
      </c>
      <c r="AH211" s="168">
        <f t="shared" si="156"/>
        <v>0.15237434658524066</v>
      </c>
      <c r="AI211" s="168">
        <f t="shared" si="156"/>
        <v>0.16021028742194893</v>
      </c>
      <c r="AJ211" s="325">
        <f t="shared" si="156"/>
        <v>0.15158834420505421</v>
      </c>
      <c r="AK211" s="168">
        <f t="shared" si="156"/>
        <v>0.16499210792675587</v>
      </c>
      <c r="AL211" s="168">
        <f t="shared" si="156"/>
        <v>0.15716509625204864</v>
      </c>
      <c r="AM211" s="168">
        <f t="shared" si="156"/>
        <v>0.15594982177942196</v>
      </c>
      <c r="AN211" s="168">
        <f t="shared" si="156"/>
        <v>0.16211517139484466</v>
      </c>
      <c r="AO211" s="325">
        <f t="shared" si="156"/>
        <v>0.15994713750890721</v>
      </c>
      <c r="AP211" s="168">
        <f t="shared" si="156"/>
        <v>0.19354642958508003</v>
      </c>
      <c r="AQ211" s="168">
        <f t="shared" si="156"/>
        <v>0.16859137652347342</v>
      </c>
      <c r="AR211" s="168">
        <f t="shared" si="156"/>
        <v>0.17620757665480508</v>
      </c>
      <c r="AS211" s="168">
        <f t="shared" si="156"/>
        <v>0.17797356045850016</v>
      </c>
      <c r="AT211" s="325">
        <f t="shared" si="156"/>
        <v>0.17880448819605776</v>
      </c>
      <c r="AU211" s="168">
        <f t="shared" si="156"/>
        <v>0.16044530984540328</v>
      </c>
      <c r="AV211" s="168">
        <f t="shared" si="156"/>
        <v>0.16497436519796227</v>
      </c>
      <c r="AW211" s="579">
        <f t="shared" si="156"/>
        <v>0.16617137484537589</v>
      </c>
      <c r="AX211" s="168">
        <f>-AX212/10000+AS211</f>
        <v>0.20297356045850015</v>
      </c>
      <c r="AY211" s="325">
        <f>AY209/AY206</f>
        <v>0.17406147432613731</v>
      </c>
      <c r="AZ211" s="168">
        <f>-AZ212/10000+AU211</f>
        <v>0.15044530984540327</v>
      </c>
      <c r="BA211" s="168">
        <f>-BA212/10000+AV211</f>
        <v>0.15497436519796226</v>
      </c>
      <c r="BB211" s="168">
        <f>-BB212/10000+AW211</f>
        <v>0.15617137484537588</v>
      </c>
      <c r="BC211" s="168">
        <f>-BC212/10000+AX211</f>
        <v>0.17797356045850016</v>
      </c>
      <c r="BD211" s="325">
        <f>BD209/BD206</f>
        <v>0.16019442379358589</v>
      </c>
      <c r="BE211" s="325">
        <f>-BE212/10000+BD211</f>
        <v>0.15819442379358589</v>
      </c>
      <c r="BF211" s="325">
        <f>-BF212/10000+BE211</f>
        <v>0.15619442379358589</v>
      </c>
      <c r="BG211" s="325">
        <f>-BG212/10000+BF211</f>
        <v>0.15419442379358589</v>
      </c>
      <c r="BH211" s="67"/>
    </row>
    <row r="212" spans="1:60" s="376" customFormat="1" hidden="1" outlineLevel="1" x14ac:dyDescent="0.25">
      <c r="A212" s="682" t="s">
        <v>708</v>
      </c>
      <c r="B212" s="484"/>
      <c r="C212" s="803"/>
      <c r="D212" s="803">
        <f>-(D211-C211)*10000</f>
        <v>261.09569745675907</v>
      </c>
      <c r="E212" s="803">
        <f>-(E211-D211)*10000</f>
        <v>1004.4262688377703</v>
      </c>
      <c r="F212" s="803">
        <f>-(F211-E211)*10000</f>
        <v>1124.0269472437249</v>
      </c>
      <c r="G212" s="406"/>
      <c r="H212" s="406"/>
      <c r="I212" s="406"/>
      <c r="J212" s="406"/>
      <c r="K212" s="803">
        <f t="shared" ref="K212:AW212" si="157">-(K211-F211)*10000</f>
        <v>646.03513974181237</v>
      </c>
      <c r="L212" s="406">
        <f t="shared" si="157"/>
        <v>288.5219712770068</v>
      </c>
      <c r="M212" s="406">
        <f t="shared" si="157"/>
        <v>244.77040966785796</v>
      </c>
      <c r="N212" s="406">
        <f t="shared" si="157"/>
        <v>287.56459453371241</v>
      </c>
      <c r="O212" s="406">
        <f t="shared" si="157"/>
        <v>182.40228872604152</v>
      </c>
      <c r="P212" s="803">
        <f t="shared" si="157"/>
        <v>249.93413166872784</v>
      </c>
      <c r="Q212" s="406">
        <f t="shared" si="157"/>
        <v>234.16576275352401</v>
      </c>
      <c r="R212" s="406">
        <f t="shared" si="157"/>
        <v>239.06816701510292</v>
      </c>
      <c r="S212" s="406">
        <f t="shared" si="157"/>
        <v>140.02557491303386</v>
      </c>
      <c r="T212" s="406">
        <f t="shared" si="157"/>
        <v>303.02796407588204</v>
      </c>
      <c r="U212" s="803">
        <f t="shared" si="157"/>
        <v>229.60260692958451</v>
      </c>
      <c r="V212" s="406">
        <f t="shared" si="157"/>
        <v>17.791587056479873</v>
      </c>
      <c r="W212" s="406">
        <f t="shared" si="157"/>
        <v>124.72990221789854</v>
      </c>
      <c r="X212" s="406">
        <f t="shared" si="157"/>
        <v>103.63224941349863</v>
      </c>
      <c r="Y212" s="406">
        <f t="shared" si="157"/>
        <v>-19.689139627568629</v>
      </c>
      <c r="Z212" s="803">
        <f t="shared" si="157"/>
        <v>58.366005097315046</v>
      </c>
      <c r="AA212" s="406">
        <f t="shared" si="157"/>
        <v>155.27846367275444</v>
      </c>
      <c r="AB212" s="406">
        <f t="shared" si="157"/>
        <v>44.023539335330263</v>
      </c>
      <c r="AC212" s="406">
        <f t="shared" si="157"/>
        <v>37.357738212875361</v>
      </c>
      <c r="AD212" s="406">
        <f t="shared" si="157"/>
        <v>7.6714328505500529</v>
      </c>
      <c r="AE212" s="803">
        <f t="shared" si="157"/>
        <v>56.439164163764879</v>
      </c>
      <c r="AF212" s="406">
        <f t="shared" si="157"/>
        <v>118.72951574223384</v>
      </c>
      <c r="AG212" s="406">
        <f t="shared" si="157"/>
        <v>55.917399783709243</v>
      </c>
      <c r="AH212" s="406">
        <f t="shared" si="157"/>
        <v>-31.200602018637003</v>
      </c>
      <c r="AI212" s="406">
        <f t="shared" si="157"/>
        <v>-116.34998028795862</v>
      </c>
      <c r="AJ212" s="803">
        <f t="shared" si="157"/>
        <v>1.7506604883638088</v>
      </c>
      <c r="AK212" s="406">
        <f t="shared" si="157"/>
        <v>-189.17524100743711</v>
      </c>
      <c r="AL212" s="406">
        <f t="shared" si="157"/>
        <v>-103.97660164959687</v>
      </c>
      <c r="AM212" s="406">
        <f t="shared" si="157"/>
        <v>-35.754751941813048</v>
      </c>
      <c r="AN212" s="406">
        <f t="shared" si="157"/>
        <v>-19.048839728957322</v>
      </c>
      <c r="AO212" s="803">
        <f t="shared" si="157"/>
        <v>-83.587933038530011</v>
      </c>
      <c r="AP212" s="406">
        <f t="shared" si="157"/>
        <v>-285.54321658324164</v>
      </c>
      <c r="AQ212" s="406">
        <f t="shared" si="157"/>
        <v>-114.26280271424783</v>
      </c>
      <c r="AR212" s="406">
        <f t="shared" si="157"/>
        <v>-202.57754875383117</v>
      </c>
      <c r="AS212" s="406">
        <f t="shared" si="157"/>
        <v>-158.58389063655497</v>
      </c>
      <c r="AT212" s="803">
        <f t="shared" si="157"/>
        <v>-188.57350687150554</v>
      </c>
      <c r="AU212" s="406">
        <f t="shared" si="157"/>
        <v>331.0111973967675</v>
      </c>
      <c r="AV212" s="406">
        <f t="shared" si="157"/>
        <v>36.170113255111488</v>
      </c>
      <c r="AW212" s="572">
        <f t="shared" si="157"/>
        <v>100.36201809429186</v>
      </c>
      <c r="AX212" s="768">
        <v>-250</v>
      </c>
      <c r="AY212" s="803">
        <f>-(AY211-AT211)*10000</f>
        <v>47.430138699204591</v>
      </c>
      <c r="AZ212" s="768">
        <v>100</v>
      </c>
      <c r="BA212" s="768">
        <v>100</v>
      </c>
      <c r="BB212" s="768">
        <v>100</v>
      </c>
      <c r="BC212" s="768">
        <v>250</v>
      </c>
      <c r="BD212" s="803">
        <f>-(BD211-AY211)*10000</f>
        <v>138.67050532551411</v>
      </c>
      <c r="BE212" s="769">
        <v>20</v>
      </c>
      <c r="BF212" s="769">
        <v>20</v>
      </c>
      <c r="BG212" s="769">
        <v>20</v>
      </c>
      <c r="BH212" s="280"/>
    </row>
    <row r="213" spans="1:60" s="420" customFormat="1" hidden="1" outlineLevel="1" x14ac:dyDescent="0.25">
      <c r="A213" s="494"/>
      <c r="B213" s="493"/>
      <c r="C213" s="874"/>
      <c r="D213" s="874"/>
      <c r="E213" s="874"/>
      <c r="F213" s="874"/>
      <c r="G213" s="879"/>
      <c r="H213" s="879"/>
      <c r="I213" s="879"/>
      <c r="J213" s="879"/>
      <c r="K213" s="874"/>
      <c r="L213" s="879"/>
      <c r="M213" s="879"/>
      <c r="N213" s="879"/>
      <c r="O213" s="879"/>
      <c r="P213" s="874"/>
      <c r="Q213" s="879"/>
      <c r="R213" s="879"/>
      <c r="S213" s="879"/>
      <c r="T213" s="879"/>
      <c r="U213" s="874"/>
      <c r="V213" s="879"/>
      <c r="W213" s="879"/>
      <c r="X213" s="879"/>
      <c r="Y213" s="879"/>
      <c r="Z213" s="874"/>
      <c r="AA213" s="879"/>
      <c r="AB213" s="879"/>
      <c r="AC213" s="879"/>
      <c r="AD213" s="879"/>
      <c r="AE213" s="874"/>
      <c r="AF213" s="879"/>
      <c r="AG213" s="879"/>
      <c r="AH213" s="879"/>
      <c r="AI213" s="879"/>
      <c r="AJ213" s="874"/>
      <c r="AK213" s="879"/>
      <c r="AL213" s="879"/>
      <c r="AM213" s="879"/>
      <c r="AN213" s="879"/>
      <c r="AO213" s="874"/>
      <c r="AP213" s="879"/>
      <c r="AQ213" s="879"/>
      <c r="AR213" s="879"/>
      <c r="AS213" s="879"/>
      <c r="AT213" s="874"/>
      <c r="AU213" s="879"/>
      <c r="AV213" s="879"/>
      <c r="AW213" s="880"/>
      <c r="AX213" s="879"/>
      <c r="AY213" s="874"/>
      <c r="AZ213" s="879"/>
      <c r="BA213" s="879"/>
      <c r="BB213" s="879"/>
      <c r="BC213" s="879"/>
      <c r="BD213" s="874"/>
      <c r="BE213" s="874"/>
      <c r="BF213" s="874"/>
      <c r="BG213" s="874"/>
      <c r="BH213" s="824"/>
    </row>
    <row r="214" spans="1:60" s="420" customFormat="1" collapsed="1" x14ac:dyDescent="0.25">
      <c r="A214" s="494" t="s">
        <v>690</v>
      </c>
      <c r="B214" s="493"/>
      <c r="C214" s="874">
        <f t="shared" ref="C214:AV214" si="158">C338</f>
        <v>590.99800000000005</v>
      </c>
      <c r="D214" s="874">
        <f t="shared" si="158"/>
        <v>805.27</v>
      </c>
      <c r="E214" s="874">
        <f t="shared" si="158"/>
        <v>1164.6760000000002</v>
      </c>
      <c r="F214" s="874">
        <f t="shared" si="158"/>
        <v>957.22400000000016</v>
      </c>
      <c r="G214" s="879">
        <f t="shared" si="158"/>
        <v>287.00900000000001</v>
      </c>
      <c r="H214" s="879">
        <f t="shared" si="158"/>
        <v>308.69800000000009</v>
      </c>
      <c r="I214" s="879">
        <f t="shared" si="158"/>
        <v>307.09900000000005</v>
      </c>
      <c r="J214" s="879">
        <f t="shared" si="158"/>
        <v>354.55299999999909</v>
      </c>
      <c r="K214" s="874">
        <f t="shared" si="158"/>
        <v>1257.3589999999999</v>
      </c>
      <c r="L214" s="879">
        <f t="shared" si="158"/>
        <v>400.90299999999991</v>
      </c>
      <c r="M214" s="879">
        <f t="shared" si="158"/>
        <v>425.55899999999997</v>
      </c>
      <c r="N214" s="879">
        <f t="shared" si="158"/>
        <v>455.03800000000001</v>
      </c>
      <c r="O214" s="879">
        <f t="shared" si="158"/>
        <v>470.39599999999973</v>
      </c>
      <c r="P214" s="874">
        <f t="shared" si="158"/>
        <v>1751.8959999999997</v>
      </c>
      <c r="Q214" s="879">
        <f t="shared" si="158"/>
        <v>526.72799999999984</v>
      </c>
      <c r="R214" s="879">
        <f t="shared" si="158"/>
        <v>522.94200000000001</v>
      </c>
      <c r="S214" s="879">
        <f t="shared" si="158"/>
        <v>564.39699999999993</v>
      </c>
      <c r="T214" s="879">
        <f t="shared" si="158"/>
        <v>573.96800000000076</v>
      </c>
      <c r="U214" s="874">
        <f t="shared" si="158"/>
        <v>2188.0350000000008</v>
      </c>
      <c r="V214" s="879">
        <f t="shared" si="158"/>
        <v>539.1550000000002</v>
      </c>
      <c r="W214" s="879">
        <f t="shared" si="158"/>
        <v>579.80700000000024</v>
      </c>
      <c r="X214" s="879">
        <f t="shared" si="158"/>
        <v>696.42000000000007</v>
      </c>
      <c r="Y214" s="879">
        <f t="shared" si="158"/>
        <v>757.82499999999936</v>
      </c>
      <c r="Z214" s="874">
        <f t="shared" si="158"/>
        <v>2573.2069999999994</v>
      </c>
      <c r="AA214" s="879">
        <f t="shared" si="158"/>
        <v>895.90400000000022</v>
      </c>
      <c r="AB214" s="879">
        <f t="shared" si="158"/>
        <v>793.76800000000003</v>
      </c>
      <c r="AC214" s="879">
        <f t="shared" si="158"/>
        <v>898.61999999999989</v>
      </c>
      <c r="AD214" s="879">
        <f t="shared" si="158"/>
        <v>1071.4209999999998</v>
      </c>
      <c r="AE214" s="874">
        <f t="shared" si="158"/>
        <v>3659.7129999999997</v>
      </c>
      <c r="AF214" s="879">
        <f t="shared" si="158"/>
        <v>1400.277</v>
      </c>
      <c r="AG214" s="879">
        <f t="shared" si="158"/>
        <v>1504.8389999999999</v>
      </c>
      <c r="AH214" s="879">
        <f t="shared" si="158"/>
        <v>1468.2459999999996</v>
      </c>
      <c r="AI214" s="879">
        <f t="shared" si="158"/>
        <v>1453.4410000000003</v>
      </c>
      <c r="AJ214" s="874">
        <f t="shared" si="158"/>
        <v>5826.8029999999999</v>
      </c>
      <c r="AK214" s="879">
        <f t="shared" si="158"/>
        <v>1650.3780000000002</v>
      </c>
      <c r="AL214" s="879">
        <f t="shared" si="158"/>
        <v>1917.4589999999998</v>
      </c>
      <c r="AM214" s="879">
        <f t="shared" si="158"/>
        <v>2146.9859999999999</v>
      </c>
      <c r="AN214" s="879">
        <f t="shared" si="158"/>
        <v>2001.4110000000001</v>
      </c>
      <c r="AO214" s="874">
        <f t="shared" si="158"/>
        <v>7716.2340000000004</v>
      </c>
      <c r="AP214" s="879">
        <f t="shared" si="158"/>
        <v>2167.9899999999998</v>
      </c>
      <c r="AQ214" s="879">
        <f t="shared" si="158"/>
        <v>2504.5790000000002</v>
      </c>
      <c r="AR214" s="879">
        <f t="shared" si="158"/>
        <v>2567.8859999999995</v>
      </c>
      <c r="AS214" s="879">
        <f t="shared" si="158"/>
        <v>2479.2820000000038</v>
      </c>
      <c r="AT214" s="874">
        <f t="shared" si="158"/>
        <v>9719.737000000001</v>
      </c>
      <c r="AU214" s="879">
        <f t="shared" si="158"/>
        <v>3294.7710000000002</v>
      </c>
      <c r="AV214" s="879">
        <f t="shared" si="158"/>
        <v>3323.7690000000002</v>
      </c>
      <c r="AW214" s="880">
        <f>AW338</f>
        <v>3276.8779999999997</v>
      </c>
      <c r="AX214" s="879">
        <f t="shared" ref="AX214:BG214" si="159">AX206-AX210</f>
        <v>2686.7418535681209</v>
      </c>
      <c r="AY214" s="874">
        <f t="shared" si="159"/>
        <v>12582.159853568122</v>
      </c>
      <c r="AZ214" s="879">
        <f t="shared" si="159"/>
        <v>3666.3019678179026</v>
      </c>
      <c r="BA214" s="879">
        <f t="shared" si="159"/>
        <v>3771.1120086710916</v>
      </c>
      <c r="BB214" s="879">
        <f t="shared" si="159"/>
        <v>3839.9498519545896</v>
      </c>
      <c r="BC214" s="879">
        <f t="shared" si="159"/>
        <v>3788.7577925183914</v>
      </c>
      <c r="BD214" s="874">
        <f t="shared" si="159"/>
        <v>15066.121620961974</v>
      </c>
      <c r="BE214" s="874">
        <f t="shared" si="159"/>
        <v>18079.480469477719</v>
      </c>
      <c r="BF214" s="874">
        <f t="shared" si="159"/>
        <v>21569.684558061428</v>
      </c>
      <c r="BG214" s="874">
        <f t="shared" si="159"/>
        <v>26198.828264290518</v>
      </c>
      <c r="BH214" s="824"/>
    </row>
    <row r="215" spans="1:60" s="655" customFormat="1" x14ac:dyDescent="0.25">
      <c r="A215" s="186" t="s">
        <v>691</v>
      </c>
      <c r="B215" s="654"/>
      <c r="C215" s="796"/>
      <c r="D215" s="796">
        <f>D214/C214-1</f>
        <v>0.36255960257056685</v>
      </c>
      <c r="E215" s="796">
        <f>E214/D214-1</f>
        <v>0.44631738423137612</v>
      </c>
      <c r="F215" s="796">
        <f>F214/E214-1</f>
        <v>-0.17811992348086503</v>
      </c>
      <c r="G215" s="163"/>
      <c r="H215" s="163"/>
      <c r="I215" s="163"/>
      <c r="J215" s="163"/>
      <c r="K215" s="796">
        <f t="shared" ref="K215:BD215" si="160">K214/F214-1</f>
        <v>0.31354729927373293</v>
      </c>
      <c r="L215" s="163">
        <f t="shared" si="160"/>
        <v>0.3968307614046942</v>
      </c>
      <c r="M215" s="163">
        <f t="shared" si="160"/>
        <v>0.3785609236211438</v>
      </c>
      <c r="N215" s="163">
        <f t="shared" si="160"/>
        <v>0.48173064712030955</v>
      </c>
      <c r="O215" s="163">
        <f t="shared" si="160"/>
        <v>0.32672971318815791</v>
      </c>
      <c r="P215" s="796">
        <f t="shared" si="160"/>
        <v>0.39331408134033308</v>
      </c>
      <c r="Q215" s="163">
        <f t="shared" si="160"/>
        <v>0.31385397465222242</v>
      </c>
      <c r="R215" s="163">
        <f t="shared" si="160"/>
        <v>0.22883548462140402</v>
      </c>
      <c r="S215" s="163">
        <f t="shared" si="160"/>
        <v>0.24032937908482355</v>
      </c>
      <c r="T215" s="163">
        <f t="shared" si="160"/>
        <v>0.22018044371125844</v>
      </c>
      <c r="U215" s="796">
        <f t="shared" si="160"/>
        <v>0.24895256339417471</v>
      </c>
      <c r="V215" s="163">
        <f t="shared" si="160"/>
        <v>2.3592822101730526E-2</v>
      </c>
      <c r="W215" s="163">
        <f t="shared" si="160"/>
        <v>0.10874054866505323</v>
      </c>
      <c r="X215" s="163">
        <f t="shared" si="160"/>
        <v>0.23391867781012321</v>
      </c>
      <c r="Y215" s="163">
        <f t="shared" si="160"/>
        <v>0.32032622027708579</v>
      </c>
      <c r="Z215" s="796">
        <f t="shared" si="160"/>
        <v>0.17603557529929748</v>
      </c>
      <c r="AA215" s="163">
        <f t="shared" si="160"/>
        <v>0.66168170563196083</v>
      </c>
      <c r="AB215" s="163">
        <f t="shared" si="160"/>
        <v>0.3690210708045949</v>
      </c>
      <c r="AC215" s="163">
        <f t="shared" si="160"/>
        <v>0.29034203497889166</v>
      </c>
      <c r="AD215" s="163">
        <f t="shared" si="160"/>
        <v>0.41381057632039164</v>
      </c>
      <c r="AE215" s="796">
        <f t="shared" si="160"/>
        <v>0.42223808655891282</v>
      </c>
      <c r="AF215" s="163">
        <f t="shared" si="160"/>
        <v>0.5629766135657388</v>
      </c>
      <c r="AG215" s="163">
        <f t="shared" si="160"/>
        <v>0.89581716572096615</v>
      </c>
      <c r="AH215" s="163">
        <f t="shared" si="160"/>
        <v>0.63388974204891935</v>
      </c>
      <c r="AI215" s="163">
        <f t="shared" si="160"/>
        <v>0.35655451965193929</v>
      </c>
      <c r="AJ215" s="796">
        <f t="shared" si="160"/>
        <v>0.5921475263224194</v>
      </c>
      <c r="AK215" s="163">
        <f t="shared" si="160"/>
        <v>0.17860823251399549</v>
      </c>
      <c r="AL215" s="163">
        <f t="shared" si="160"/>
        <v>0.27419544549284014</v>
      </c>
      <c r="AM215" s="163">
        <f t="shared" si="160"/>
        <v>0.46227948177621481</v>
      </c>
      <c r="AN215" s="163">
        <f t="shared" si="160"/>
        <v>0.37701564769398943</v>
      </c>
      <c r="AO215" s="796">
        <f t="shared" si="160"/>
        <v>0.32426546770158526</v>
      </c>
      <c r="AP215" s="163">
        <f t="shared" si="160"/>
        <v>0.31363239209441685</v>
      </c>
      <c r="AQ215" s="163">
        <f t="shared" si="160"/>
        <v>0.30619689912535297</v>
      </c>
      <c r="AR215" s="163">
        <f t="shared" si="160"/>
        <v>0.19604226576232908</v>
      </c>
      <c r="AS215" s="163">
        <f t="shared" si="160"/>
        <v>0.23876704984633523</v>
      </c>
      <c r="AT215" s="796">
        <f t="shared" si="160"/>
        <v>0.25964777636344372</v>
      </c>
      <c r="AU215" s="163">
        <f t="shared" si="160"/>
        <v>0.51973533088252277</v>
      </c>
      <c r="AV215" s="163">
        <f t="shared" si="160"/>
        <v>0.32707692590251702</v>
      </c>
      <c r="AW215" s="637">
        <f t="shared" si="160"/>
        <v>0.27609948416713226</v>
      </c>
      <c r="AX215" s="163">
        <f t="shared" si="160"/>
        <v>8.3677392716164034E-2</v>
      </c>
      <c r="AY215" s="796">
        <f t="shared" si="160"/>
        <v>0.29449591625453664</v>
      </c>
      <c r="AZ215" s="163">
        <f t="shared" si="160"/>
        <v>0.11276382116326222</v>
      </c>
      <c r="BA215" s="163">
        <f t="shared" si="160"/>
        <v>0.13458907904583373</v>
      </c>
      <c r="BB215" s="163">
        <f t="shared" si="160"/>
        <v>0.17183180208557958</v>
      </c>
      <c r="BC215" s="163">
        <f t="shared" si="160"/>
        <v>0.41016815124487715</v>
      </c>
      <c r="BD215" s="796">
        <f t="shared" si="160"/>
        <v>0.19741934582792919</v>
      </c>
      <c r="BE215" s="796">
        <f>BE214/BD214-1</f>
        <v>0.20000892892854139</v>
      </c>
      <c r="BF215" s="796">
        <f>BF214/BE214-1</f>
        <v>0.1930478087838845</v>
      </c>
      <c r="BG215" s="796">
        <f>BG214/BF214-1</f>
        <v>0.21461341698198355</v>
      </c>
      <c r="BH215" s="648"/>
    </row>
    <row r="216" spans="1:60" s="416" customFormat="1" x14ac:dyDescent="0.25">
      <c r="A216" s="526" t="s">
        <v>39</v>
      </c>
      <c r="B216" s="496"/>
      <c r="C216" s="325">
        <f t="shared" ref="C216:AH216" si="161">C214/C206</f>
        <v>0.35383402314238011</v>
      </c>
      <c r="D216" s="325">
        <f t="shared" si="161"/>
        <v>0.3723576671868678</v>
      </c>
      <c r="E216" s="325">
        <f t="shared" si="161"/>
        <v>0.36344141520082063</v>
      </c>
      <c r="F216" s="325">
        <f t="shared" si="161"/>
        <v>0.26521175125689822</v>
      </c>
      <c r="G216" s="168">
        <f t="shared" si="161"/>
        <v>0.28029290178043892</v>
      </c>
      <c r="H216" s="168">
        <f t="shared" si="161"/>
        <v>0.28867223005651921</v>
      </c>
      <c r="I216" s="168">
        <f t="shared" si="161"/>
        <v>0.27766661633509621</v>
      </c>
      <c r="J216" s="168">
        <f t="shared" si="161"/>
        <v>0.30168818018600552</v>
      </c>
      <c r="K216" s="325">
        <f t="shared" si="161"/>
        <v>0.28742511821754951</v>
      </c>
      <c r="L216" s="168">
        <f t="shared" si="161"/>
        <v>0.31564953322168754</v>
      </c>
      <c r="M216" s="168">
        <f t="shared" si="161"/>
        <v>0.31748491316443439</v>
      </c>
      <c r="N216" s="168">
        <f t="shared" si="161"/>
        <v>0.32285204252493205</v>
      </c>
      <c r="O216" s="168">
        <f t="shared" si="161"/>
        <v>0.31682301404701724</v>
      </c>
      <c r="P216" s="325">
        <f t="shared" si="161"/>
        <v>0.31825712633087333</v>
      </c>
      <c r="Q216" s="168">
        <f t="shared" si="161"/>
        <v>0.33482823086981417</v>
      </c>
      <c r="R216" s="168">
        <f t="shared" si="161"/>
        <v>0.31795701814440863</v>
      </c>
      <c r="S216" s="168">
        <f t="shared" si="161"/>
        <v>0.32467303859108176</v>
      </c>
      <c r="T216" s="168">
        <f t="shared" si="161"/>
        <v>0.31479055115000965</v>
      </c>
      <c r="U216" s="325">
        <f t="shared" si="161"/>
        <v>0.32274230398033144</v>
      </c>
      <c r="V216" s="168">
        <f t="shared" si="161"/>
        <v>0.27539719349289188</v>
      </c>
      <c r="W216" s="168">
        <f t="shared" si="161"/>
        <v>0.27541606419140385</v>
      </c>
      <c r="X216" s="168">
        <f t="shared" si="161"/>
        <v>0.30408857264119804</v>
      </c>
      <c r="Y216" s="168">
        <f t="shared" si="161"/>
        <v>0.30587788456376691</v>
      </c>
      <c r="Z216" s="325">
        <f t="shared" si="161"/>
        <v>0.29139434396193531</v>
      </c>
      <c r="AA216" s="168">
        <f t="shared" si="161"/>
        <v>0.33979068016619673</v>
      </c>
      <c r="AB216" s="168">
        <f t="shared" si="161"/>
        <v>0.28496796224973653</v>
      </c>
      <c r="AC216" s="168">
        <f t="shared" si="161"/>
        <v>0.3010594470291561</v>
      </c>
      <c r="AD216" s="168">
        <f t="shared" si="161"/>
        <v>0.32608061160981267</v>
      </c>
      <c r="AE216" s="325">
        <f t="shared" si="161"/>
        <v>0.31299092007132989</v>
      </c>
      <c r="AF216" s="168">
        <f t="shared" si="161"/>
        <v>0.37836570782543283</v>
      </c>
      <c r="AG216" s="168">
        <f t="shared" si="161"/>
        <v>0.38513821670885295</v>
      </c>
      <c r="AH216" s="168">
        <f t="shared" si="161"/>
        <v>0.36711895411631912</v>
      </c>
      <c r="AI216" s="168">
        <f t="shared" ref="AI216:BG216" si="162">AI214/AI206</f>
        <v>0.34714501935946462</v>
      </c>
      <c r="AJ216" s="325">
        <f t="shared" si="162"/>
        <v>0.36891713304151152</v>
      </c>
      <c r="AK216" s="168">
        <f t="shared" si="162"/>
        <v>0.3650477594297889</v>
      </c>
      <c r="AL216" s="168">
        <f t="shared" si="162"/>
        <v>0.38948076787140501</v>
      </c>
      <c r="AM216" s="168">
        <f t="shared" si="162"/>
        <v>0.40934697577935159</v>
      </c>
      <c r="AN216" s="168">
        <f t="shared" si="162"/>
        <v>0.36606038591412354</v>
      </c>
      <c r="AO216" s="325">
        <f t="shared" si="162"/>
        <v>0.38281717010939481</v>
      </c>
      <c r="AP216" s="168">
        <f t="shared" si="162"/>
        <v>0.37588525460188488</v>
      </c>
      <c r="AQ216" s="168">
        <f t="shared" si="162"/>
        <v>0.40736214938602405</v>
      </c>
      <c r="AR216" s="168">
        <f t="shared" si="162"/>
        <v>0.39901038545213158</v>
      </c>
      <c r="AS216" s="168">
        <f t="shared" si="162"/>
        <v>0.37313622423071841</v>
      </c>
      <c r="AT216" s="325">
        <f t="shared" si="162"/>
        <v>0.38885082510616881</v>
      </c>
      <c r="AU216" s="168">
        <f t="shared" si="162"/>
        <v>0.45995271441219265</v>
      </c>
      <c r="AV216" s="168">
        <f t="shared" si="162"/>
        <v>0.45271996139354276</v>
      </c>
      <c r="AW216" s="579">
        <f t="shared" si="162"/>
        <v>0.43788233448480496</v>
      </c>
      <c r="AX216" s="168">
        <f t="shared" si="162"/>
        <v>0.34787401348378899</v>
      </c>
      <c r="AY216" s="325">
        <f t="shared" si="162"/>
        <v>0.42347286090698555</v>
      </c>
      <c r="AZ216" s="168">
        <f t="shared" si="162"/>
        <v>0.4584082652558763</v>
      </c>
      <c r="BA216" s="168">
        <f t="shared" si="162"/>
        <v>0.45838858280980538</v>
      </c>
      <c r="BB216" s="168">
        <f t="shared" si="162"/>
        <v>0.45366252755402597</v>
      </c>
      <c r="BC216" s="168">
        <f t="shared" si="162"/>
        <v>0.43467114241276134</v>
      </c>
      <c r="BD216" s="325">
        <f t="shared" si="162"/>
        <v>0.45100729276468554</v>
      </c>
      <c r="BE216" s="325">
        <f t="shared" si="162"/>
        <v>0.47955287461198071</v>
      </c>
      <c r="BF216" s="325">
        <f t="shared" si="162"/>
        <v>0.50262891359678885</v>
      </c>
      <c r="BG216" s="325">
        <f t="shared" si="162"/>
        <v>0.5351059709778726</v>
      </c>
      <c r="BH216" s="67"/>
    </row>
    <row r="217" spans="1:60" s="755" customFormat="1" x14ac:dyDescent="0.25">
      <c r="A217" s="186" t="s">
        <v>40</v>
      </c>
      <c r="B217" s="654"/>
      <c r="C217" s="796"/>
      <c r="D217" s="796"/>
      <c r="E217" s="796"/>
      <c r="F217" s="796"/>
      <c r="G217" s="163"/>
      <c r="H217" s="163"/>
      <c r="I217" s="163"/>
      <c r="J217" s="163"/>
      <c r="K217" s="796"/>
      <c r="L217" s="163"/>
      <c r="M217" s="163"/>
      <c r="N217" s="163"/>
      <c r="O217" s="163"/>
      <c r="P217" s="796"/>
      <c r="Q217" s="163"/>
      <c r="R217" s="163"/>
      <c r="S217" s="163"/>
      <c r="T217" s="163"/>
      <c r="U217" s="796"/>
      <c r="V217" s="163"/>
      <c r="W217" s="163"/>
      <c r="X217" s="163"/>
      <c r="Y217" s="163"/>
      <c r="Z217" s="796"/>
      <c r="AA217" s="163"/>
      <c r="AB217" s="163"/>
      <c r="AC217" s="163"/>
      <c r="AD217" s="163"/>
      <c r="AE217" s="796"/>
      <c r="AF217" s="163"/>
      <c r="AG217" s="163"/>
      <c r="AH217" s="163"/>
      <c r="AI217" s="163"/>
      <c r="AJ217" s="796"/>
      <c r="AK217" s="163"/>
      <c r="AL217" s="163"/>
      <c r="AM217" s="163"/>
      <c r="AN217" s="163"/>
      <c r="AO217" s="796"/>
      <c r="AP217" s="163"/>
      <c r="AQ217" s="163"/>
      <c r="AR217" s="163"/>
      <c r="AS217" s="163"/>
      <c r="AT217" s="796"/>
      <c r="AU217" s="163"/>
      <c r="AV217" s="163"/>
      <c r="AW217" s="637"/>
      <c r="AX217" s="163" t="str">
        <f ca="1">AX315</f>
        <v>N/A</v>
      </c>
      <c r="AY217" s="796" t="str">
        <f t="shared" ref="AY217:BG217" ca="1" si="163">AY315</f>
        <v>N/A</v>
      </c>
      <c r="AZ217" s="163" t="str">
        <f t="shared" ca="1" si="163"/>
        <v>N/A</v>
      </c>
      <c r="BA217" s="163" t="str">
        <f t="shared" ca="1" si="163"/>
        <v>N/A</v>
      </c>
      <c r="BB217" s="163" t="str">
        <f t="shared" ca="1" si="163"/>
        <v>N/A</v>
      </c>
      <c r="BC217" s="163" t="str">
        <f t="shared" ca="1" si="163"/>
        <v>N/A</v>
      </c>
      <c r="BD217" s="796" t="str">
        <f t="shared" ca="1" si="163"/>
        <v>N/A</v>
      </c>
      <c r="BE217" s="796" t="str">
        <f t="shared" ca="1" si="163"/>
        <v>N/A</v>
      </c>
      <c r="BF217" s="796" t="str">
        <f t="shared" ca="1" si="163"/>
        <v>N/A</v>
      </c>
      <c r="BG217" s="796" t="str">
        <f t="shared" ca="1" si="163"/>
        <v>N/A</v>
      </c>
      <c r="BH217" s="459"/>
    </row>
    <row r="218" spans="1:60" s="376" customFormat="1" x14ac:dyDescent="0.25">
      <c r="A218" s="682" t="s">
        <v>692</v>
      </c>
      <c r="B218" s="484"/>
      <c r="C218" s="803"/>
      <c r="D218" s="803">
        <f>(D216-C216)*10000</f>
        <v>185.23644044487696</v>
      </c>
      <c r="E218" s="803">
        <f>(E216-D216)*10000</f>
        <v>-89.162519860471747</v>
      </c>
      <c r="F218" s="803">
        <f>(F216-E216)*10000</f>
        <v>-982.29663943922412</v>
      </c>
      <c r="G218" s="406"/>
      <c r="H218" s="406"/>
      <c r="I218" s="406"/>
      <c r="J218" s="406"/>
      <c r="K218" s="803">
        <f t="shared" ref="K218:BD218" si="164">(K216-F216)*10000</f>
        <v>222.13366960651294</v>
      </c>
      <c r="L218" s="406">
        <f t="shared" si="164"/>
        <v>353.56631441248618</v>
      </c>
      <c r="M218" s="406">
        <f t="shared" si="164"/>
        <v>288.12683107915183</v>
      </c>
      <c r="N218" s="406">
        <f t="shared" si="164"/>
        <v>451.8542618983584</v>
      </c>
      <c r="O218" s="406">
        <f t="shared" si="164"/>
        <v>151.3483386101172</v>
      </c>
      <c r="P218" s="803">
        <f t="shared" si="164"/>
        <v>308.32008113323815</v>
      </c>
      <c r="Q218" s="406">
        <f t="shared" si="164"/>
        <v>191.78697648126629</v>
      </c>
      <c r="R218" s="406">
        <f t="shared" si="164"/>
        <v>4.7210497997424161</v>
      </c>
      <c r="S218" s="406">
        <f t="shared" si="164"/>
        <v>18.20996066149716</v>
      </c>
      <c r="T218" s="406">
        <f t="shared" si="164"/>
        <v>-20.324628970075921</v>
      </c>
      <c r="U218" s="803">
        <f t="shared" si="164"/>
        <v>44.851776494581053</v>
      </c>
      <c r="V218" s="406">
        <f t="shared" si="164"/>
        <v>-594.31037376922291</v>
      </c>
      <c r="W218" s="406">
        <f t="shared" si="164"/>
        <v>-425.40953953004777</v>
      </c>
      <c r="X218" s="406">
        <f t="shared" si="164"/>
        <v>-205.84465949883725</v>
      </c>
      <c r="Y218" s="406">
        <f t="shared" si="164"/>
        <v>-89.126665862427345</v>
      </c>
      <c r="Z218" s="803">
        <f t="shared" si="164"/>
        <v>-313.47960018396128</v>
      </c>
      <c r="AA218" s="406">
        <f t="shared" si="164"/>
        <v>643.93486673304858</v>
      </c>
      <c r="AB218" s="406">
        <f t="shared" si="164"/>
        <v>95.518980583326751</v>
      </c>
      <c r="AC218" s="406">
        <f t="shared" si="164"/>
        <v>-30.291256120419384</v>
      </c>
      <c r="AD218" s="406">
        <f t="shared" si="164"/>
        <v>202.02727046045754</v>
      </c>
      <c r="AE218" s="803">
        <f t="shared" si="164"/>
        <v>215.96576109394584</v>
      </c>
      <c r="AF218" s="406">
        <f t="shared" si="164"/>
        <v>385.75027659236093</v>
      </c>
      <c r="AG218" s="406">
        <f t="shared" si="164"/>
        <v>1001.7025445911643</v>
      </c>
      <c r="AH218" s="406">
        <f t="shared" si="164"/>
        <v>660.59507087163013</v>
      </c>
      <c r="AI218" s="406">
        <f t="shared" si="164"/>
        <v>210.6440774965196</v>
      </c>
      <c r="AJ218" s="803">
        <f t="shared" si="164"/>
        <v>559.26212970181632</v>
      </c>
      <c r="AK218" s="406">
        <f t="shared" si="164"/>
        <v>-133.1794839564393</v>
      </c>
      <c r="AL218" s="406">
        <f t="shared" si="164"/>
        <v>43.425511625520549</v>
      </c>
      <c r="AM218" s="406">
        <f t="shared" si="164"/>
        <v>422.28021663032467</v>
      </c>
      <c r="AN218" s="406">
        <f t="shared" si="164"/>
        <v>189.1536655465892</v>
      </c>
      <c r="AO218" s="803">
        <f t="shared" si="164"/>
        <v>139.00037067883287</v>
      </c>
      <c r="AP218" s="406">
        <f t="shared" si="164"/>
        <v>108.37495172095979</v>
      </c>
      <c r="AQ218" s="406">
        <f t="shared" si="164"/>
        <v>178.81381514619045</v>
      </c>
      <c r="AR218" s="406">
        <f t="shared" si="164"/>
        <v>-103.36590327220007</v>
      </c>
      <c r="AS218" s="406">
        <f t="shared" si="164"/>
        <v>70.758383165948629</v>
      </c>
      <c r="AT218" s="803">
        <f t="shared" si="164"/>
        <v>60.336549967739963</v>
      </c>
      <c r="AU218" s="406">
        <f t="shared" si="164"/>
        <v>840.67459810307776</v>
      </c>
      <c r="AV218" s="406">
        <f t="shared" si="164"/>
        <v>453.57812007518703</v>
      </c>
      <c r="AW218" s="572">
        <f t="shared" si="164"/>
        <v>388.71949032673382</v>
      </c>
      <c r="AX218" s="406">
        <f t="shared" si="164"/>
        <v>-252.62210746929415</v>
      </c>
      <c r="AY218" s="803">
        <f t="shared" si="164"/>
        <v>346.22035800816741</v>
      </c>
      <c r="AZ218" s="406">
        <f t="shared" si="164"/>
        <v>-15.44449156316352</v>
      </c>
      <c r="BA218" s="406">
        <f t="shared" si="164"/>
        <v>56.6862141626262</v>
      </c>
      <c r="BB218" s="406">
        <f t="shared" si="164"/>
        <v>157.80193069221016</v>
      </c>
      <c r="BC218" s="406">
        <f t="shared" si="164"/>
        <v>867.97128928972347</v>
      </c>
      <c r="BD218" s="803">
        <f t="shared" si="164"/>
        <v>275.34431857699991</v>
      </c>
      <c r="BE218" s="803">
        <f>(BE216-BD216)*10000</f>
        <v>285.45581847295165</v>
      </c>
      <c r="BF218" s="803">
        <f>(BF216-BE216)*10000</f>
        <v>230.76038984808145</v>
      </c>
      <c r="BG218" s="803">
        <f>(BG216-BF216)*10000</f>
        <v>324.7705738108375</v>
      </c>
      <c r="BH218" s="280"/>
    </row>
    <row r="219" spans="1:60" s="420" customFormat="1" x14ac:dyDescent="0.25">
      <c r="A219" s="494"/>
      <c r="B219" s="493"/>
      <c r="C219" s="874"/>
      <c r="D219" s="874"/>
      <c r="E219" s="874"/>
      <c r="F219" s="874"/>
      <c r="G219" s="879"/>
      <c r="H219" s="879"/>
      <c r="I219" s="879"/>
      <c r="J219" s="879"/>
      <c r="K219" s="874"/>
      <c r="L219" s="879"/>
      <c r="M219" s="879"/>
      <c r="N219" s="879"/>
      <c r="O219" s="879"/>
      <c r="P219" s="874"/>
      <c r="Q219" s="879"/>
      <c r="R219" s="879"/>
      <c r="S219" s="879"/>
      <c r="T219" s="879"/>
      <c r="U219" s="874"/>
      <c r="V219" s="879"/>
      <c r="W219" s="879"/>
      <c r="X219" s="879"/>
      <c r="Y219" s="879"/>
      <c r="Z219" s="874"/>
      <c r="AA219" s="879"/>
      <c r="AB219" s="879"/>
      <c r="AC219" s="879"/>
      <c r="AD219" s="879"/>
      <c r="AE219" s="874"/>
      <c r="AF219" s="879"/>
      <c r="AG219" s="879"/>
      <c r="AH219" s="879"/>
      <c r="AI219" s="879"/>
      <c r="AJ219" s="874"/>
      <c r="AK219" s="879"/>
      <c r="AL219" s="879"/>
      <c r="AM219" s="879"/>
      <c r="AN219" s="879"/>
      <c r="AO219" s="874"/>
      <c r="AP219" s="879"/>
      <c r="AQ219" s="879"/>
      <c r="AR219" s="879"/>
      <c r="AS219" s="879"/>
      <c r="AT219" s="874"/>
      <c r="AU219" s="879"/>
      <c r="AV219" s="879"/>
      <c r="AW219" s="880"/>
      <c r="AX219" s="879"/>
      <c r="AY219" s="874"/>
      <c r="AZ219" s="879"/>
      <c r="BA219" s="879"/>
      <c r="BB219" s="879"/>
      <c r="BC219" s="879"/>
      <c r="BD219" s="874"/>
      <c r="BE219" s="874"/>
      <c r="BF219" s="874"/>
      <c r="BG219" s="874"/>
      <c r="BH219" s="824"/>
    </row>
    <row r="220" spans="1:60" s="420" customFormat="1" x14ac:dyDescent="0.25">
      <c r="A220" s="756" t="s">
        <v>693</v>
      </c>
      <c r="B220" s="442"/>
      <c r="C220" s="864">
        <f t="shared" ref="C220:AV220" si="165">C340</f>
        <v>114.542</v>
      </c>
      <c r="D220" s="864">
        <f t="shared" si="165"/>
        <v>163.32900000000001</v>
      </c>
      <c r="E220" s="864">
        <f t="shared" si="165"/>
        <v>259.03300000000002</v>
      </c>
      <c r="F220" s="864">
        <f t="shared" si="165"/>
        <v>329.00799999999998</v>
      </c>
      <c r="G220" s="867">
        <f t="shared" si="165"/>
        <v>91.974999999999994</v>
      </c>
      <c r="H220" s="867">
        <f t="shared" si="165"/>
        <v>93.126000000000005</v>
      </c>
      <c r="I220" s="867">
        <f t="shared" si="165"/>
        <v>95.54</v>
      </c>
      <c r="J220" s="867">
        <f t="shared" si="165"/>
        <v>98.127999999999972</v>
      </c>
      <c r="K220" s="864">
        <f t="shared" si="165"/>
        <v>378.76900000000001</v>
      </c>
      <c r="L220" s="867">
        <f t="shared" si="165"/>
        <v>110.31</v>
      </c>
      <c r="M220" s="867">
        <f t="shared" si="165"/>
        <v>115.182</v>
      </c>
      <c r="N220" s="867">
        <f t="shared" si="165"/>
        <v>120.953</v>
      </c>
      <c r="O220" s="867">
        <f t="shared" si="165"/>
        <v>125.876</v>
      </c>
      <c r="P220" s="864">
        <f t="shared" si="165"/>
        <v>472.32100000000003</v>
      </c>
      <c r="Q220" s="867">
        <f t="shared" si="165"/>
        <v>143.10599999999999</v>
      </c>
      <c r="R220" s="867">
        <f t="shared" si="165"/>
        <v>155.06100000000001</v>
      </c>
      <c r="S220" s="867">
        <f t="shared" si="165"/>
        <v>171.762</v>
      </c>
      <c r="T220" s="867">
        <f t="shared" si="165"/>
        <v>180.85899999999998</v>
      </c>
      <c r="U220" s="864">
        <f t="shared" si="165"/>
        <v>650.78800000000001</v>
      </c>
      <c r="V220" s="867">
        <f t="shared" si="165"/>
        <v>186.61</v>
      </c>
      <c r="W220" s="867">
        <f t="shared" si="165"/>
        <v>190.20400000000001</v>
      </c>
      <c r="X220" s="867">
        <f t="shared" si="165"/>
        <v>197.506</v>
      </c>
      <c r="Y220" s="867">
        <f t="shared" si="165"/>
        <v>205.91200000000001</v>
      </c>
      <c r="Z220" s="864">
        <f t="shared" si="165"/>
        <v>780.23199999999997</v>
      </c>
      <c r="AA220" s="867">
        <f t="shared" si="165"/>
        <v>233.87100000000001</v>
      </c>
      <c r="AB220" s="867">
        <f t="shared" si="165"/>
        <v>242.48400000000001</v>
      </c>
      <c r="AC220" s="867">
        <f t="shared" si="165"/>
        <v>230.22300000000001</v>
      </c>
      <c r="AD220" s="867">
        <f t="shared" si="165"/>
        <v>247.13200000000001</v>
      </c>
      <c r="AE220" s="864">
        <f t="shared" si="165"/>
        <v>953.71</v>
      </c>
      <c r="AF220" s="867">
        <f t="shared" si="165"/>
        <v>282.31</v>
      </c>
      <c r="AG220" s="867">
        <f t="shared" si="165"/>
        <v>299.09500000000003</v>
      </c>
      <c r="AH220" s="867">
        <f t="shared" si="165"/>
        <v>308.62</v>
      </c>
      <c r="AI220" s="867">
        <f t="shared" si="165"/>
        <v>331.7890000000001</v>
      </c>
      <c r="AJ220" s="864">
        <f t="shared" si="165"/>
        <v>1221.8140000000001</v>
      </c>
      <c r="AK220" s="867">
        <f t="shared" si="165"/>
        <v>372.76400000000001</v>
      </c>
      <c r="AL220" s="867">
        <f t="shared" si="165"/>
        <v>383.233</v>
      </c>
      <c r="AM220" s="867">
        <f t="shared" si="165"/>
        <v>379.77600000000001</v>
      </c>
      <c r="AN220" s="867">
        <f t="shared" si="165"/>
        <v>409.37599999999981</v>
      </c>
      <c r="AO220" s="864">
        <f t="shared" si="165"/>
        <v>1545.1489999999999</v>
      </c>
      <c r="AP220" s="867">
        <f t="shared" si="165"/>
        <v>453.81700000000001</v>
      </c>
      <c r="AQ220" s="867">
        <f t="shared" si="165"/>
        <v>435.04500000000002</v>
      </c>
      <c r="AR220" s="867">
        <f t="shared" si="165"/>
        <v>453.80200000000002</v>
      </c>
      <c r="AS220" s="867">
        <f t="shared" si="165"/>
        <v>486.93599999999981</v>
      </c>
      <c r="AT220" s="864">
        <f t="shared" si="165"/>
        <v>1829.6</v>
      </c>
      <c r="AU220" s="867">
        <f t="shared" si="165"/>
        <v>525.20699999999999</v>
      </c>
      <c r="AV220" s="867">
        <f t="shared" si="165"/>
        <v>537.32100000000003</v>
      </c>
      <c r="AW220" s="868">
        <f>AW340</f>
        <v>563.88699999999994</v>
      </c>
      <c r="AX220" s="867">
        <f>AX222*AX206</f>
        <v>720.46753389287824</v>
      </c>
      <c r="AY220" s="864">
        <f>SUM(AU220,AV220,AW220,AX220)</f>
        <v>2346.8825338928782</v>
      </c>
      <c r="AZ220" s="867">
        <f>AZ222*AZ206</f>
        <v>582.40144049150933</v>
      </c>
      <c r="BA220" s="867">
        <f>BA222*BA206</f>
        <v>597.9860535534807</v>
      </c>
      <c r="BB220" s="867">
        <f>BB222*BB206</f>
        <v>633.56396352486729</v>
      </c>
      <c r="BC220" s="867">
        <f>BC222*BC206</f>
        <v>760.80648107172556</v>
      </c>
      <c r="BD220" s="864">
        <f>SUM(AZ220,BA220,BB220,BC220)</f>
        <v>2574.7579386415828</v>
      </c>
      <c r="BE220" s="864">
        <f>BE222*BE206</f>
        <v>2886.9645675331126</v>
      </c>
      <c r="BF220" s="864">
        <f>BF222*BF206</f>
        <v>3264.7003105487861</v>
      </c>
      <c r="BG220" s="864">
        <f>BG222*BG206</f>
        <v>3700.2008058959941</v>
      </c>
      <c r="BH220" s="821"/>
    </row>
    <row r="221" spans="1:60" s="655" customFormat="1" x14ac:dyDescent="0.25">
      <c r="A221" s="757" t="s">
        <v>694</v>
      </c>
      <c r="B221" s="654"/>
      <c r="C221" s="796"/>
      <c r="D221" s="796">
        <f>D220/C220-1</f>
        <v>0.42593109950935037</v>
      </c>
      <c r="E221" s="796">
        <f>E220/D220-1</f>
        <v>0.58595840297803825</v>
      </c>
      <c r="F221" s="796">
        <f>F220/E220-1</f>
        <v>0.27013932587739764</v>
      </c>
      <c r="G221" s="163"/>
      <c r="H221" s="163"/>
      <c r="I221" s="163"/>
      <c r="J221" s="163"/>
      <c r="K221" s="796">
        <f t="shared" ref="K221:BD221" si="166">K220/F220-1</f>
        <v>0.15124556241793519</v>
      </c>
      <c r="L221" s="163">
        <f t="shared" si="166"/>
        <v>0.19934764881761358</v>
      </c>
      <c r="M221" s="163">
        <f t="shared" si="166"/>
        <v>0.23684040976741194</v>
      </c>
      <c r="N221" s="163">
        <f t="shared" si="166"/>
        <v>0.2659933012350848</v>
      </c>
      <c r="O221" s="163">
        <f t="shared" si="166"/>
        <v>0.28277352030001679</v>
      </c>
      <c r="P221" s="796">
        <f t="shared" si="166"/>
        <v>0.24698958996116382</v>
      </c>
      <c r="Q221" s="163">
        <f t="shared" si="166"/>
        <v>0.29730758770737009</v>
      </c>
      <c r="R221" s="163">
        <f t="shared" si="166"/>
        <v>0.34622597280825129</v>
      </c>
      <c r="S221" s="163">
        <f t="shared" si="166"/>
        <v>0.42007225947268778</v>
      </c>
      <c r="T221" s="163">
        <f t="shared" si="166"/>
        <v>0.43680288537926182</v>
      </c>
      <c r="U221" s="796">
        <f t="shared" si="166"/>
        <v>0.3778510800917172</v>
      </c>
      <c r="V221" s="163">
        <f t="shared" si="166"/>
        <v>0.30399843472670618</v>
      </c>
      <c r="W221" s="163">
        <f t="shared" si="166"/>
        <v>0.22663983851516489</v>
      </c>
      <c r="X221" s="163">
        <f t="shared" si="166"/>
        <v>0.1498818132066464</v>
      </c>
      <c r="Y221" s="163">
        <f t="shared" si="166"/>
        <v>0.13852227425784736</v>
      </c>
      <c r="Z221" s="796">
        <f t="shared" si="166"/>
        <v>0.19890348316195139</v>
      </c>
      <c r="AA221" s="163">
        <f t="shared" si="166"/>
        <v>0.25326081131772149</v>
      </c>
      <c r="AB221" s="163">
        <f t="shared" si="166"/>
        <v>0.27486277891106381</v>
      </c>
      <c r="AC221" s="163">
        <f t="shared" si="166"/>
        <v>0.16565066377730298</v>
      </c>
      <c r="AD221" s="163">
        <f t="shared" si="166"/>
        <v>0.20018260227670082</v>
      </c>
      <c r="AE221" s="796">
        <f t="shared" si="166"/>
        <v>0.22234155994627258</v>
      </c>
      <c r="AF221" s="163">
        <f t="shared" si="166"/>
        <v>0.20711845419055797</v>
      </c>
      <c r="AG221" s="163">
        <f t="shared" si="166"/>
        <v>0.23346282641328919</v>
      </c>
      <c r="AH221" s="163">
        <f t="shared" si="166"/>
        <v>0.34052635922562025</v>
      </c>
      <c r="AI221" s="163">
        <f t="shared" si="166"/>
        <v>0.3425578233494655</v>
      </c>
      <c r="AJ221" s="796">
        <f t="shared" si="166"/>
        <v>0.28111690136414635</v>
      </c>
      <c r="AK221" s="163">
        <f t="shared" si="166"/>
        <v>0.32040664517728734</v>
      </c>
      <c r="AL221" s="163">
        <f t="shared" si="166"/>
        <v>0.28130861431986487</v>
      </c>
      <c r="AM221" s="163">
        <f t="shared" si="166"/>
        <v>0.23056185600414758</v>
      </c>
      <c r="AN221" s="163">
        <f t="shared" si="166"/>
        <v>0.23384440111034333</v>
      </c>
      <c r="AO221" s="796">
        <f t="shared" si="166"/>
        <v>0.26463520634073578</v>
      </c>
      <c r="AP221" s="163">
        <f t="shared" si="166"/>
        <v>0.21743784271013289</v>
      </c>
      <c r="AQ221" s="163">
        <f t="shared" si="166"/>
        <v>0.13519712550850271</v>
      </c>
      <c r="AR221" s="163">
        <f t="shared" si="166"/>
        <v>0.19492016346477925</v>
      </c>
      <c r="AS221" s="163">
        <f t="shared" si="166"/>
        <v>0.18945907918392879</v>
      </c>
      <c r="AT221" s="796">
        <f t="shared" si="166"/>
        <v>0.18409292566606839</v>
      </c>
      <c r="AU221" s="163">
        <f t="shared" si="166"/>
        <v>0.15731010517455268</v>
      </c>
      <c r="AV221" s="163">
        <f t="shared" si="166"/>
        <v>0.23509292142192195</v>
      </c>
      <c r="AW221" s="637">
        <f t="shared" si="166"/>
        <v>0.24258377001423503</v>
      </c>
      <c r="AX221" s="163">
        <f t="shared" si="166"/>
        <v>0.47959389712996892</v>
      </c>
      <c r="AY221" s="796">
        <f t="shared" si="166"/>
        <v>0.28272985018194041</v>
      </c>
      <c r="AZ221" s="163">
        <f t="shared" si="166"/>
        <v>0.10889885414990541</v>
      </c>
      <c r="BA221" s="163">
        <f t="shared" si="166"/>
        <v>0.11290281517655298</v>
      </c>
      <c r="BB221" s="163">
        <f t="shared" si="166"/>
        <v>0.12356547238164262</v>
      </c>
      <c r="BC221" s="163">
        <f t="shared" si="166"/>
        <v>5.5989958299557552E-2</v>
      </c>
      <c r="BD221" s="796">
        <f t="shared" si="166"/>
        <v>9.7097064492067897E-2</v>
      </c>
      <c r="BE221" s="796">
        <f>BE220/BD220-1</f>
        <v>0.12125669143727236</v>
      </c>
      <c r="BF221" s="796">
        <f>BF220/BE220-1</f>
        <v>0.13084183549174822</v>
      </c>
      <c r="BG221" s="796">
        <f>BG220/BF220-1</f>
        <v>0.13339677578981268</v>
      </c>
      <c r="BH221" s="648"/>
    </row>
    <row r="222" spans="1:60" s="416" customFormat="1" x14ac:dyDescent="0.25">
      <c r="A222" s="758" t="s">
        <v>41</v>
      </c>
      <c r="B222" s="496"/>
      <c r="C222" s="325">
        <f t="shared" ref="C222:AW222" si="167">C220/C206</f>
        <v>6.8576977720355231E-2</v>
      </c>
      <c r="D222" s="325">
        <f t="shared" si="167"/>
        <v>7.5523495751690664E-2</v>
      </c>
      <c r="E222" s="325">
        <f t="shared" si="167"/>
        <v>8.0832197197945307E-2</v>
      </c>
      <c r="F222" s="325">
        <f t="shared" si="167"/>
        <v>9.1156080350607113E-2</v>
      </c>
      <c r="G222" s="168">
        <f t="shared" si="167"/>
        <v>8.9822756921406177E-2</v>
      </c>
      <c r="H222" s="168">
        <f t="shared" si="167"/>
        <v>8.7084756286867432E-2</v>
      </c>
      <c r="I222" s="168">
        <f t="shared" si="167"/>
        <v>8.6383441576348627E-2</v>
      </c>
      <c r="J222" s="168">
        <f t="shared" si="167"/>
        <v>8.3496847425610324E-2</v>
      </c>
      <c r="K222" s="325">
        <f t="shared" si="167"/>
        <v>8.6584439767912774E-2</v>
      </c>
      <c r="L222" s="168">
        <f t="shared" si="167"/>
        <v>8.6852181225095249E-2</v>
      </c>
      <c r="M222" s="168">
        <f t="shared" si="167"/>
        <v>8.5930616596302467E-2</v>
      </c>
      <c r="N222" s="168">
        <f t="shared" si="167"/>
        <v>8.5816839691450181E-2</v>
      </c>
      <c r="O222" s="168">
        <f t="shared" si="167"/>
        <v>8.4780511986033813E-2</v>
      </c>
      <c r="P222" s="325">
        <f t="shared" si="167"/>
        <v>8.5803908545783791E-2</v>
      </c>
      <c r="Q222" s="168">
        <f t="shared" si="167"/>
        <v>9.0969017798286089E-2</v>
      </c>
      <c r="R222" s="168">
        <f t="shared" si="167"/>
        <v>9.4279543793556742E-2</v>
      </c>
      <c r="S222" s="168">
        <f t="shared" si="167"/>
        <v>9.8807205662824915E-2</v>
      </c>
      <c r="T222" s="168">
        <f t="shared" si="167"/>
        <v>9.9191425811960804E-2</v>
      </c>
      <c r="U222" s="325">
        <f t="shared" si="167"/>
        <v>9.5993354092942684E-2</v>
      </c>
      <c r="V222" s="168">
        <f t="shared" si="167"/>
        <v>9.5319287176616252E-2</v>
      </c>
      <c r="W222" s="168">
        <f t="shared" si="167"/>
        <v>9.0349438819230812E-2</v>
      </c>
      <c r="X222" s="168">
        <f t="shared" si="167"/>
        <v>8.624008160028783E-2</v>
      </c>
      <c r="Y222" s="168">
        <f t="shared" si="167"/>
        <v>8.3111439931771086E-2</v>
      </c>
      <c r="Z222" s="325">
        <f t="shared" si="167"/>
        <v>8.8354800751789017E-2</v>
      </c>
      <c r="AA222" s="168">
        <f t="shared" si="167"/>
        <v>8.8700559614812061E-2</v>
      </c>
      <c r="AB222" s="168">
        <f t="shared" si="167"/>
        <v>8.705335987110227E-2</v>
      </c>
      <c r="AC222" s="168">
        <f t="shared" si="167"/>
        <v>7.7130276505523385E-2</v>
      </c>
      <c r="AD222" s="168">
        <f t="shared" si="167"/>
        <v>7.5213154967427587E-2</v>
      </c>
      <c r="AE222" s="325">
        <f t="shared" si="167"/>
        <v>8.1564475241973355E-2</v>
      </c>
      <c r="AF222" s="168">
        <f t="shared" si="167"/>
        <v>7.6282351974786375E-2</v>
      </c>
      <c r="AG222" s="168">
        <f t="shared" si="167"/>
        <v>7.6548331699626604E-2</v>
      </c>
      <c r="AH222" s="168">
        <f t="shared" si="167"/>
        <v>7.7167076647495336E-2</v>
      </c>
      <c r="AI222" s="168">
        <f t="shared" si="167"/>
        <v>7.924566516856027E-2</v>
      </c>
      <c r="AJ222" s="325">
        <f t="shared" si="167"/>
        <v>7.7357706788779609E-2</v>
      </c>
      <c r="AK222" s="168">
        <f t="shared" si="167"/>
        <v>8.2451815884655402E-2</v>
      </c>
      <c r="AL222" s="168">
        <f t="shared" si="167"/>
        <v>7.784358524154214E-2</v>
      </c>
      <c r="AM222" s="168">
        <f t="shared" si="167"/>
        <v>7.240855649435024E-2</v>
      </c>
      <c r="AN222" s="168">
        <f t="shared" si="167"/>
        <v>7.4875343716997736E-2</v>
      </c>
      <c r="AO222" s="325">
        <f t="shared" si="167"/>
        <v>7.6657805812701013E-2</v>
      </c>
      <c r="AP222" s="168">
        <f t="shared" si="167"/>
        <v>7.8682613198245197E-2</v>
      </c>
      <c r="AQ222" s="168">
        <f t="shared" si="167"/>
        <v>7.0758744794890804E-2</v>
      </c>
      <c r="AR222" s="168">
        <f t="shared" si="167"/>
        <v>7.0513921154968809E-2</v>
      </c>
      <c r="AS222" s="168">
        <f t="shared" si="167"/>
        <v>7.3284709235177256E-2</v>
      </c>
      <c r="AT222" s="325">
        <f t="shared" si="167"/>
        <v>7.3195547329546709E-2</v>
      </c>
      <c r="AU222" s="168">
        <f t="shared" si="167"/>
        <v>7.3319324856958024E-2</v>
      </c>
      <c r="AV222" s="168">
        <f t="shared" si="167"/>
        <v>7.3186777533558983E-2</v>
      </c>
      <c r="AW222" s="579">
        <f t="shared" si="167"/>
        <v>7.5351037159648054E-2</v>
      </c>
      <c r="AX222" s="168">
        <f>-AX223/10000+AS222</f>
        <v>9.328470923517726E-2</v>
      </c>
      <c r="AY222" s="325">
        <f>AY220/AY206</f>
        <v>7.8988112725210155E-2</v>
      </c>
      <c r="AZ222" s="168">
        <f>-AZ223/10000+AU222</f>
        <v>7.2819324856958023E-2</v>
      </c>
      <c r="BA222" s="168">
        <f>-BA223/10000+AV222</f>
        <v>7.2686777533558983E-2</v>
      </c>
      <c r="BB222" s="168">
        <f>-BB223/10000+AW222</f>
        <v>7.4851037159648054E-2</v>
      </c>
      <c r="BC222" s="168">
        <f>-BC223/10000+AX222</f>
        <v>8.7284709235177255E-2</v>
      </c>
      <c r="BD222" s="325">
        <f>BD220/BD206</f>
        <v>7.7075881679825278E-2</v>
      </c>
      <c r="BE222" s="325">
        <f>-BE223/10000+BD222</f>
        <v>7.6575881679825278E-2</v>
      </c>
      <c r="BF222" s="325">
        <f>-BF223/10000+BE222</f>
        <v>7.6075881679825277E-2</v>
      </c>
      <c r="BG222" s="325">
        <f>-BG223/10000+BF222</f>
        <v>7.5575881679825277E-2</v>
      </c>
      <c r="BH222" s="67"/>
    </row>
    <row r="223" spans="1:60" s="376" customFormat="1" x14ac:dyDescent="0.25">
      <c r="A223" s="766" t="s">
        <v>695</v>
      </c>
      <c r="B223" s="484"/>
      <c r="C223" s="803"/>
      <c r="D223" s="803">
        <f>-(D222-C222)*10000</f>
        <v>-69.465180313354324</v>
      </c>
      <c r="E223" s="803">
        <f>-(E222-D222)*10000</f>
        <v>-53.087014462546435</v>
      </c>
      <c r="F223" s="803">
        <f>-(F222-E222)*10000</f>
        <v>-103.23883152661806</v>
      </c>
      <c r="G223" s="406"/>
      <c r="H223" s="406"/>
      <c r="I223" s="406"/>
      <c r="J223" s="406"/>
      <c r="K223" s="803">
        <f t="shared" ref="K223:AW223" si="168">-(K222-F222)*10000</f>
        <v>45.716405826943394</v>
      </c>
      <c r="L223" s="406">
        <f t="shared" si="168"/>
        <v>29.705756963109287</v>
      </c>
      <c r="M223" s="406">
        <f t="shared" si="168"/>
        <v>11.541396905649648</v>
      </c>
      <c r="N223" s="406">
        <f t="shared" si="168"/>
        <v>5.6660188489844607</v>
      </c>
      <c r="O223" s="406">
        <f t="shared" si="168"/>
        <v>-12.836645604234892</v>
      </c>
      <c r="P223" s="803">
        <f t="shared" si="168"/>
        <v>7.805312221289828</v>
      </c>
      <c r="Q223" s="406">
        <f t="shared" si="168"/>
        <v>-41.168365731908409</v>
      </c>
      <c r="R223" s="406">
        <f t="shared" si="168"/>
        <v>-83.489271972542738</v>
      </c>
      <c r="S223" s="406">
        <f t="shared" si="168"/>
        <v>-129.90365971374734</v>
      </c>
      <c r="T223" s="406">
        <f t="shared" si="168"/>
        <v>-144.10913825926991</v>
      </c>
      <c r="U223" s="803">
        <f t="shared" si="168"/>
        <v>-101.89445547158893</v>
      </c>
      <c r="V223" s="406">
        <f t="shared" si="168"/>
        <v>-43.502693783301623</v>
      </c>
      <c r="W223" s="406">
        <f t="shared" si="168"/>
        <v>39.301049743259291</v>
      </c>
      <c r="X223" s="406">
        <f t="shared" si="168"/>
        <v>125.67124062537086</v>
      </c>
      <c r="Y223" s="406">
        <f t="shared" si="168"/>
        <v>160.79985880189719</v>
      </c>
      <c r="Z223" s="803">
        <f t="shared" si="168"/>
        <v>76.38553341153667</v>
      </c>
      <c r="AA223" s="406">
        <f t="shared" si="168"/>
        <v>66.187275618041909</v>
      </c>
      <c r="AB223" s="406">
        <f t="shared" si="168"/>
        <v>32.960789481285417</v>
      </c>
      <c r="AC223" s="406">
        <f t="shared" si="168"/>
        <v>91.098050947644452</v>
      </c>
      <c r="AD223" s="406">
        <f t="shared" si="168"/>
        <v>78.982849643434989</v>
      </c>
      <c r="AE223" s="803">
        <f t="shared" si="168"/>
        <v>67.90325509815662</v>
      </c>
      <c r="AF223" s="406">
        <f t="shared" si="168"/>
        <v>124.18207640025686</v>
      </c>
      <c r="AG223" s="406">
        <f t="shared" si="168"/>
        <v>105.05028171475666</v>
      </c>
      <c r="AH223" s="406">
        <f t="shared" si="168"/>
        <v>-0.36800141971951583</v>
      </c>
      <c r="AI223" s="406">
        <f t="shared" si="168"/>
        <v>-40.325102011326827</v>
      </c>
      <c r="AJ223" s="803">
        <f t="shared" si="168"/>
        <v>42.067684531937459</v>
      </c>
      <c r="AK223" s="406">
        <f t="shared" si="168"/>
        <v>-61.694639098690274</v>
      </c>
      <c r="AL223" s="406">
        <f t="shared" si="168"/>
        <v>-12.952535419155364</v>
      </c>
      <c r="AM223" s="406">
        <f t="shared" si="168"/>
        <v>47.585201531450963</v>
      </c>
      <c r="AN223" s="406">
        <f t="shared" si="168"/>
        <v>43.703214515625341</v>
      </c>
      <c r="AO223" s="803">
        <f t="shared" si="168"/>
        <v>6.9990097607859623</v>
      </c>
      <c r="AP223" s="406">
        <f t="shared" si="168"/>
        <v>37.692026864102054</v>
      </c>
      <c r="AQ223" s="406">
        <f t="shared" si="168"/>
        <v>70.848404466513358</v>
      </c>
      <c r="AR223" s="406">
        <f t="shared" si="168"/>
        <v>18.946353393814313</v>
      </c>
      <c r="AS223" s="406">
        <f t="shared" si="168"/>
        <v>15.906344818204799</v>
      </c>
      <c r="AT223" s="803">
        <f t="shared" si="168"/>
        <v>34.622584831543044</v>
      </c>
      <c r="AU223" s="406">
        <f t="shared" si="168"/>
        <v>53.632883412871728</v>
      </c>
      <c r="AV223" s="406">
        <f t="shared" si="168"/>
        <v>-24.280327386681787</v>
      </c>
      <c r="AW223" s="572">
        <f t="shared" si="168"/>
        <v>-48.371160046792454</v>
      </c>
      <c r="AX223" s="768">
        <v>-200</v>
      </c>
      <c r="AY223" s="803">
        <f>-(AY222-AT222)*10000</f>
        <v>-57.925653956634463</v>
      </c>
      <c r="AZ223" s="768">
        <v>5</v>
      </c>
      <c r="BA223" s="768">
        <v>5</v>
      </c>
      <c r="BB223" s="768">
        <v>5</v>
      </c>
      <c r="BC223" s="768">
        <v>60</v>
      </c>
      <c r="BD223" s="803">
        <f>-(BD222-AY222)*10000</f>
        <v>19.122310453848769</v>
      </c>
      <c r="BE223" s="769">
        <v>5</v>
      </c>
      <c r="BF223" s="769">
        <v>5</v>
      </c>
      <c r="BG223" s="769">
        <v>5</v>
      </c>
      <c r="BH223" s="280"/>
    </row>
    <row r="224" spans="1:60" s="420" customFormat="1" x14ac:dyDescent="0.25">
      <c r="A224" s="494"/>
      <c r="B224" s="493"/>
      <c r="C224" s="874"/>
      <c r="D224" s="874"/>
      <c r="E224" s="874"/>
      <c r="F224" s="874"/>
      <c r="G224" s="879"/>
      <c r="H224" s="879"/>
      <c r="I224" s="879"/>
      <c r="J224" s="879"/>
      <c r="K224" s="874"/>
      <c r="L224" s="879"/>
      <c r="M224" s="879"/>
      <c r="N224" s="879"/>
      <c r="O224" s="879"/>
      <c r="P224" s="874"/>
      <c r="Q224" s="879"/>
      <c r="R224" s="879"/>
      <c r="S224" s="879"/>
      <c r="T224" s="879"/>
      <c r="U224" s="874"/>
      <c r="V224" s="879"/>
      <c r="W224" s="879"/>
      <c r="X224" s="879"/>
      <c r="Y224" s="879"/>
      <c r="Z224" s="874"/>
      <c r="AA224" s="879"/>
      <c r="AB224" s="879"/>
      <c r="AC224" s="879"/>
      <c r="AD224" s="879"/>
      <c r="AE224" s="874"/>
      <c r="AF224" s="879"/>
      <c r="AG224" s="879"/>
      <c r="AH224" s="879"/>
      <c r="AI224" s="879"/>
      <c r="AJ224" s="874"/>
      <c r="AK224" s="879"/>
      <c r="AL224" s="879"/>
      <c r="AM224" s="879"/>
      <c r="AN224" s="879"/>
      <c r="AO224" s="874"/>
      <c r="AP224" s="879"/>
      <c r="AQ224" s="879"/>
      <c r="AR224" s="879"/>
      <c r="AS224" s="879"/>
      <c r="AT224" s="874"/>
      <c r="AU224" s="879"/>
      <c r="AV224" s="879"/>
      <c r="AW224" s="880"/>
      <c r="AX224" s="879"/>
      <c r="AY224" s="874"/>
      <c r="AZ224" s="879"/>
      <c r="BA224" s="879"/>
      <c r="BB224" s="879"/>
      <c r="BC224" s="879"/>
      <c r="BD224" s="874"/>
      <c r="BE224" s="874"/>
      <c r="BF224" s="874"/>
      <c r="BG224" s="874"/>
      <c r="BH224" s="824"/>
    </row>
    <row r="225" spans="1:60" s="420" customFormat="1" x14ac:dyDescent="0.25">
      <c r="A225" s="756" t="s">
        <v>696</v>
      </c>
      <c r="B225" s="442"/>
      <c r="C225" s="864">
        <f t="shared" ref="C225:AV225" si="169">C339</f>
        <v>237.744</v>
      </c>
      <c r="D225" s="864">
        <f t="shared" si="169"/>
        <v>293.839</v>
      </c>
      <c r="E225" s="864">
        <f t="shared" si="169"/>
        <v>402.63799999999998</v>
      </c>
      <c r="F225" s="864">
        <f t="shared" si="169"/>
        <v>439.20800000000003</v>
      </c>
      <c r="G225" s="867">
        <f t="shared" si="169"/>
        <v>119.086</v>
      </c>
      <c r="H225" s="867">
        <f t="shared" si="169"/>
        <v>114.611</v>
      </c>
      <c r="I225" s="867">
        <f t="shared" si="169"/>
        <v>108.22799999999999</v>
      </c>
      <c r="J225" s="867">
        <f t="shared" si="169"/>
        <v>128.017</v>
      </c>
      <c r="K225" s="864">
        <f t="shared" si="169"/>
        <v>469.94200000000001</v>
      </c>
      <c r="L225" s="867">
        <f t="shared" si="169"/>
        <v>137.09800000000001</v>
      </c>
      <c r="M225" s="867">
        <f t="shared" si="169"/>
        <v>120.76300000000001</v>
      </c>
      <c r="N225" s="867">
        <f t="shared" si="169"/>
        <v>145.654</v>
      </c>
      <c r="O225" s="867">
        <f t="shared" si="169"/>
        <v>203.67100000000005</v>
      </c>
      <c r="P225" s="864">
        <f t="shared" si="169"/>
        <v>607.18600000000004</v>
      </c>
      <c r="Q225" s="867">
        <f t="shared" si="169"/>
        <v>194.67699999999999</v>
      </c>
      <c r="R225" s="867">
        <f t="shared" si="169"/>
        <v>197.14</v>
      </c>
      <c r="S225" s="867">
        <f t="shared" si="169"/>
        <v>208.102</v>
      </c>
      <c r="T225" s="867">
        <f t="shared" si="169"/>
        <v>224.17299999999997</v>
      </c>
      <c r="U225" s="864">
        <f t="shared" si="169"/>
        <v>824.09199999999998</v>
      </c>
      <c r="V225" s="867">
        <f t="shared" si="169"/>
        <v>231.465</v>
      </c>
      <c r="W225" s="867">
        <f t="shared" si="169"/>
        <v>240.59</v>
      </c>
      <c r="X225" s="867">
        <f t="shared" si="169"/>
        <v>311.017</v>
      </c>
      <c r="Y225" s="867">
        <f t="shared" si="169"/>
        <v>314.447</v>
      </c>
      <c r="Z225" s="864">
        <f t="shared" si="169"/>
        <v>1097.519</v>
      </c>
      <c r="AA225" s="867">
        <f t="shared" si="169"/>
        <v>306.14800000000002</v>
      </c>
      <c r="AB225" s="867">
        <f t="shared" si="169"/>
        <v>311.16000000000003</v>
      </c>
      <c r="AC225" s="867">
        <f t="shared" si="169"/>
        <v>352.44600000000003</v>
      </c>
      <c r="AD225" s="867">
        <f t="shared" si="169"/>
        <v>466.52699999999999</v>
      </c>
      <c r="AE225" s="864">
        <f t="shared" si="169"/>
        <v>1436.2809999999999</v>
      </c>
      <c r="AF225" s="867">
        <f t="shared" si="169"/>
        <v>536.77700000000004</v>
      </c>
      <c r="AG225" s="867">
        <f t="shared" si="169"/>
        <v>592.00699999999995</v>
      </c>
      <c r="AH225" s="867">
        <f t="shared" si="169"/>
        <v>510.33</v>
      </c>
      <c r="AI225" s="867">
        <f t="shared" si="169"/>
        <v>730.35500000000002</v>
      </c>
      <c r="AJ225" s="864">
        <f t="shared" si="169"/>
        <v>2369.4690000000001</v>
      </c>
      <c r="AK225" s="867">
        <f t="shared" si="169"/>
        <v>616.57799999999997</v>
      </c>
      <c r="AL225" s="867">
        <f t="shared" si="169"/>
        <v>603.15</v>
      </c>
      <c r="AM225" s="867">
        <f t="shared" si="169"/>
        <v>553.79700000000003</v>
      </c>
      <c r="AN225" s="867">
        <f t="shared" si="169"/>
        <v>878.9369999999999</v>
      </c>
      <c r="AO225" s="864">
        <f t="shared" si="169"/>
        <v>2652.462</v>
      </c>
      <c r="AP225" s="867">
        <f t="shared" si="169"/>
        <v>503.83</v>
      </c>
      <c r="AQ225" s="867">
        <f t="shared" si="169"/>
        <v>434.37</v>
      </c>
      <c r="AR225" s="867">
        <f t="shared" si="169"/>
        <v>527.59699999999998</v>
      </c>
      <c r="AS225" s="867">
        <f t="shared" si="169"/>
        <v>762.56500000000028</v>
      </c>
      <c r="AT225" s="864">
        <f t="shared" si="169"/>
        <v>2228.3620000000001</v>
      </c>
      <c r="AU225" s="867">
        <f t="shared" si="169"/>
        <v>512.51199999999994</v>
      </c>
      <c r="AV225" s="867">
        <f t="shared" si="169"/>
        <v>603.97299999999996</v>
      </c>
      <c r="AW225" s="868">
        <f>AW339</f>
        <v>635.94799999999998</v>
      </c>
      <c r="AX225" s="867">
        <f>AX227*AX206</f>
        <v>1025.4045487045014</v>
      </c>
      <c r="AY225" s="864">
        <f>SUM(AU225,AV225,AW225,AX225)</f>
        <v>2777.8375487045014</v>
      </c>
      <c r="AZ225" s="867">
        <f>AZ227*AZ206</f>
        <v>568.22730926979523</v>
      </c>
      <c r="BA225" s="867">
        <f>BA227*BA206</f>
        <v>672.67350434294144</v>
      </c>
      <c r="BB225" s="867">
        <f>BB227*BB206</f>
        <v>710.83789201722152</v>
      </c>
      <c r="BC225" s="867">
        <f>BC227*BC206</f>
        <v>1104.9520843715079</v>
      </c>
      <c r="BD225" s="864">
        <f>SUM(AZ225,BA225,BB225,BC225)</f>
        <v>3056.6907900014662</v>
      </c>
      <c r="BE225" s="864">
        <f>BE227*BE206</f>
        <v>3430.8633350335454</v>
      </c>
      <c r="BF225" s="864">
        <f>BF227*BF206</f>
        <v>3883.8062252368445</v>
      </c>
      <c r="BG225" s="864">
        <f>BG227*BG206</f>
        <v>4406.5357588779316</v>
      </c>
      <c r="BH225" s="821"/>
    </row>
    <row r="226" spans="1:60" s="655" customFormat="1" x14ac:dyDescent="0.25">
      <c r="A226" s="757" t="s">
        <v>697</v>
      </c>
      <c r="B226" s="654"/>
      <c r="C226" s="796"/>
      <c r="D226" s="796">
        <f>D225/C225-1</f>
        <v>0.23594706911636054</v>
      </c>
      <c r="E226" s="796">
        <f>E225/D225-1</f>
        <v>0.37026739132654263</v>
      </c>
      <c r="F226" s="796">
        <f>F225/E225-1</f>
        <v>9.0826002513424209E-2</v>
      </c>
      <c r="G226" s="163"/>
      <c r="H226" s="163"/>
      <c r="I226" s="163"/>
      <c r="J226" s="163"/>
      <c r="K226" s="796">
        <f t="shared" ref="K226:BD226" si="170">K225/F225-1</f>
        <v>6.9975956722099664E-2</v>
      </c>
      <c r="L226" s="163">
        <f t="shared" si="170"/>
        <v>0.15125203634348305</v>
      </c>
      <c r="M226" s="163">
        <f t="shared" si="170"/>
        <v>5.367722120913343E-2</v>
      </c>
      <c r="N226" s="163">
        <f t="shared" si="170"/>
        <v>0.34580700003695908</v>
      </c>
      <c r="O226" s="163">
        <f t="shared" si="170"/>
        <v>0.59096838701110044</v>
      </c>
      <c r="P226" s="796">
        <f t="shared" si="170"/>
        <v>0.2920445501785327</v>
      </c>
      <c r="Q226" s="163">
        <f t="shared" si="170"/>
        <v>0.41998424484675168</v>
      </c>
      <c r="R226" s="163">
        <f t="shared" si="170"/>
        <v>0.63245364888252187</v>
      </c>
      <c r="S226" s="163">
        <f t="shared" si="170"/>
        <v>0.42874208741263553</v>
      </c>
      <c r="T226" s="163">
        <f t="shared" si="170"/>
        <v>0.10066234269974572</v>
      </c>
      <c r="U226" s="796">
        <f t="shared" si="170"/>
        <v>0.35723155672232232</v>
      </c>
      <c r="V226" s="163">
        <f t="shared" si="170"/>
        <v>0.18896942114374071</v>
      </c>
      <c r="W226" s="163">
        <f t="shared" si="170"/>
        <v>0.2204017449528255</v>
      </c>
      <c r="X226" s="163">
        <f t="shared" si="170"/>
        <v>0.49454113848016834</v>
      </c>
      <c r="Y226" s="163">
        <f t="shared" si="170"/>
        <v>0.40269791634139729</v>
      </c>
      <c r="Z226" s="796">
        <f t="shared" si="170"/>
        <v>0.33179183877528251</v>
      </c>
      <c r="AA226" s="163">
        <f t="shared" si="170"/>
        <v>0.32265353293154475</v>
      </c>
      <c r="AB226" s="163">
        <f t="shared" si="170"/>
        <v>0.29332058689056084</v>
      </c>
      <c r="AC226" s="163">
        <f t="shared" si="170"/>
        <v>0.13320493735069161</v>
      </c>
      <c r="AD226" s="163">
        <f t="shared" si="170"/>
        <v>0.4836427124443865</v>
      </c>
      <c r="AE226" s="796">
        <f t="shared" si="170"/>
        <v>0.30866162681466092</v>
      </c>
      <c r="AF226" s="163">
        <f t="shared" si="170"/>
        <v>0.75332518912421453</v>
      </c>
      <c r="AG226" s="163">
        <f t="shared" si="170"/>
        <v>0.90258066589535901</v>
      </c>
      <c r="AH226" s="163">
        <f t="shared" si="170"/>
        <v>0.44796649699528412</v>
      </c>
      <c r="AI226" s="163">
        <f t="shared" si="170"/>
        <v>0.56551496483590458</v>
      </c>
      <c r="AJ226" s="796">
        <f t="shared" si="170"/>
        <v>0.64972522786279296</v>
      </c>
      <c r="AK226" s="163">
        <f t="shared" si="170"/>
        <v>0.14866695108024364</v>
      </c>
      <c r="AL226" s="163">
        <f t="shared" si="170"/>
        <v>1.8822412572824465E-2</v>
      </c>
      <c r="AM226" s="163">
        <f t="shared" si="170"/>
        <v>8.5174298983011099E-2</v>
      </c>
      <c r="AN226" s="163">
        <f t="shared" si="170"/>
        <v>0.20343805409698001</v>
      </c>
      <c r="AO226" s="796">
        <f t="shared" si="170"/>
        <v>0.11943308817291975</v>
      </c>
      <c r="AP226" s="163">
        <f t="shared" si="170"/>
        <v>-0.18286088702483705</v>
      </c>
      <c r="AQ226" s="163">
        <f t="shared" si="170"/>
        <v>-0.27983088783884602</v>
      </c>
      <c r="AR226" s="163">
        <f t="shared" si="170"/>
        <v>-4.7309754296249396E-2</v>
      </c>
      <c r="AS226" s="163">
        <f t="shared" si="170"/>
        <v>-0.13240084329138446</v>
      </c>
      <c r="AT226" s="796">
        <f t="shared" si="170"/>
        <v>-0.15988918974145527</v>
      </c>
      <c r="AU226" s="163">
        <f t="shared" si="170"/>
        <v>1.7232002858106776E-2</v>
      </c>
      <c r="AV226" s="163">
        <f t="shared" si="170"/>
        <v>0.39045744411446459</v>
      </c>
      <c r="AW226" s="637">
        <f t="shared" si="170"/>
        <v>0.20536697517233793</v>
      </c>
      <c r="AX226" s="163">
        <f t="shared" si="170"/>
        <v>0.34467822245251356</v>
      </c>
      <c r="AY226" s="796">
        <f t="shared" si="170"/>
        <v>0.24658271353779204</v>
      </c>
      <c r="AZ226" s="163">
        <f t="shared" si="170"/>
        <v>0.10871025316440441</v>
      </c>
      <c r="BA226" s="163">
        <f t="shared" si="170"/>
        <v>0.11374764160474315</v>
      </c>
      <c r="BB226" s="163">
        <f t="shared" si="170"/>
        <v>0.11776103080318134</v>
      </c>
      <c r="BC226" s="163">
        <f t="shared" si="170"/>
        <v>7.7576733755966965E-2</v>
      </c>
      <c r="BD226" s="796">
        <f t="shared" si="170"/>
        <v>0.10038500682914786</v>
      </c>
      <c r="BE226" s="796">
        <f>BE225/BD225-1</f>
        <v>0.12241098977234133</v>
      </c>
      <c r="BF226" s="796">
        <f>BF225/BE225-1</f>
        <v>0.13202009114678726</v>
      </c>
      <c r="BG226" s="796">
        <f>BG225/BF225-1</f>
        <v>0.13459207368390524</v>
      </c>
      <c r="BH226" s="648"/>
    </row>
    <row r="227" spans="1:60" s="416" customFormat="1" x14ac:dyDescent="0.25">
      <c r="A227" s="758" t="s">
        <v>45</v>
      </c>
      <c r="B227" s="496"/>
      <c r="C227" s="325">
        <f t="shared" ref="C227:AW227" si="171">C225/C206</f>
        <v>0.14233874902785121</v>
      </c>
      <c r="D227" s="325">
        <f t="shared" si="171"/>
        <v>0.13587145251719554</v>
      </c>
      <c r="E227" s="325">
        <f t="shared" si="171"/>
        <v>0.12564466386671314</v>
      </c>
      <c r="F227" s="325">
        <f t="shared" si="171"/>
        <v>0.12168846878686675</v>
      </c>
      <c r="G227" s="168">
        <f t="shared" si="171"/>
        <v>0.1162993512448228</v>
      </c>
      <c r="H227" s="168">
        <f t="shared" si="171"/>
        <v>0.10717598740195179</v>
      </c>
      <c r="I227" s="168">
        <f t="shared" si="171"/>
        <v>9.7855423015753173E-2</v>
      </c>
      <c r="J227" s="168">
        <f t="shared" si="171"/>
        <v>0.10892931596368376</v>
      </c>
      <c r="K227" s="325">
        <f t="shared" si="171"/>
        <v>0.10742606916989633</v>
      </c>
      <c r="L227" s="168">
        <f t="shared" si="171"/>
        <v>0.10794361654970637</v>
      </c>
      <c r="M227" s="168">
        <f t="shared" si="171"/>
        <v>9.0094277335167616E-2</v>
      </c>
      <c r="N227" s="168">
        <f t="shared" si="171"/>
        <v>0.10334233932534524</v>
      </c>
      <c r="O227" s="168">
        <f t="shared" si="171"/>
        <v>0.13717731463271393</v>
      </c>
      <c r="P227" s="325">
        <f t="shared" si="171"/>
        <v>0.11030407713034203</v>
      </c>
      <c r="Q227" s="168">
        <f t="shared" si="171"/>
        <v>0.12375145331374604</v>
      </c>
      <c r="R227" s="168">
        <f t="shared" si="171"/>
        <v>0.11986424222378143</v>
      </c>
      <c r="S227" s="168">
        <f t="shared" si="171"/>
        <v>0.11971202659986022</v>
      </c>
      <c r="T227" s="168">
        <f t="shared" si="171"/>
        <v>0.1229468232078287</v>
      </c>
      <c r="U227" s="325">
        <f t="shared" si="171"/>
        <v>0.1215562597361373</v>
      </c>
      <c r="V227" s="168">
        <f t="shared" si="171"/>
        <v>0.11823095657432871</v>
      </c>
      <c r="W227" s="168">
        <f t="shared" si="171"/>
        <v>0.11428346136526435</v>
      </c>
      <c r="X227" s="168">
        <f t="shared" si="171"/>
        <v>0.13580413485705103</v>
      </c>
      <c r="Y227" s="168">
        <f t="shared" si="171"/>
        <v>0.1269189894334746</v>
      </c>
      <c r="Z227" s="325">
        <f t="shared" si="171"/>
        <v>0.12428492110846869</v>
      </c>
      <c r="AA227" s="168">
        <f t="shared" si="171"/>
        <v>0.11611315180144388</v>
      </c>
      <c r="AB227" s="168">
        <f t="shared" si="171"/>
        <v>0.11170849811736933</v>
      </c>
      <c r="AC227" s="168">
        <f t="shared" si="171"/>
        <v>0.11807793935994967</v>
      </c>
      <c r="AD227" s="168">
        <f t="shared" si="171"/>
        <v>0.14198471888500513</v>
      </c>
      <c r="AE227" s="325">
        <f t="shared" si="171"/>
        <v>0.12283556433823356</v>
      </c>
      <c r="AF227" s="168">
        <f t="shared" si="171"/>
        <v>0.14504130936194221</v>
      </c>
      <c r="AG227" s="168">
        <f t="shared" si="171"/>
        <v>0.15151422860462674</v>
      </c>
      <c r="AH227" s="168">
        <f t="shared" si="171"/>
        <v>0.12760246978652159</v>
      </c>
      <c r="AI227" s="168">
        <f t="shared" si="171"/>
        <v>0.17444058659022399</v>
      </c>
      <c r="AJ227" s="325">
        <f t="shared" si="171"/>
        <v>0.15002012429641731</v>
      </c>
      <c r="AK227" s="168">
        <f t="shared" si="171"/>
        <v>0.13638113051294937</v>
      </c>
      <c r="AL227" s="168">
        <f t="shared" si="171"/>
        <v>0.12251387129614658</v>
      </c>
      <c r="AM227" s="168">
        <f t="shared" si="171"/>
        <v>0.10558761312168667</v>
      </c>
      <c r="AN227" s="168">
        <f t="shared" si="171"/>
        <v>0.16075859351937305</v>
      </c>
      <c r="AO227" s="325">
        <f t="shared" si="171"/>
        <v>0.13159372780331771</v>
      </c>
      <c r="AP227" s="168">
        <f t="shared" si="171"/>
        <v>8.7353847492870201E-2</v>
      </c>
      <c r="AQ227" s="168">
        <f t="shared" si="171"/>
        <v>7.0648958099867182E-2</v>
      </c>
      <c r="AR227" s="168">
        <f t="shared" si="171"/>
        <v>8.1980540543228272E-2</v>
      </c>
      <c r="AS227" s="168">
        <f t="shared" si="171"/>
        <v>0.11476734991440968</v>
      </c>
      <c r="AT227" s="325">
        <f t="shared" si="171"/>
        <v>8.9148544074313163E-2</v>
      </c>
      <c r="AU227" s="168">
        <f t="shared" si="171"/>
        <v>7.1547092519881242E-2</v>
      </c>
      <c r="AV227" s="168">
        <f t="shared" si="171"/>
        <v>8.2265233607612967E-2</v>
      </c>
      <c r="AW227" s="579">
        <f t="shared" si="171"/>
        <v>8.4980397454816059E-2</v>
      </c>
      <c r="AX227" s="168">
        <f>-AX228/10000+AS227</f>
        <v>0.13276734991440967</v>
      </c>
      <c r="AY227" s="325">
        <f>AY225/AY206</f>
        <v>9.3492598057490897E-2</v>
      </c>
      <c r="AZ227" s="168">
        <f>-AZ228/10000+AU227</f>
        <v>7.1047092519881241E-2</v>
      </c>
      <c r="BA227" s="168">
        <f>-BA228/10000+AV227</f>
        <v>8.1765233607612967E-2</v>
      </c>
      <c r="BB227" s="168">
        <f>-BB228/10000+AW227</f>
        <v>8.3980397454816058E-2</v>
      </c>
      <c r="BC227" s="168">
        <f>-BC228/10000+AX227</f>
        <v>0.12676734991440966</v>
      </c>
      <c r="BD227" s="325">
        <f>BD225/BD206</f>
        <v>9.1502635694858142E-2</v>
      </c>
      <c r="BE227" s="325">
        <f>-BE228/10000+BD227</f>
        <v>9.1002635694858142E-2</v>
      </c>
      <c r="BF227" s="325">
        <f>-BF228/10000+BE227</f>
        <v>9.0502635694858141E-2</v>
      </c>
      <c r="BG227" s="325">
        <f>-BG228/10000+BF227</f>
        <v>9.0002635694858141E-2</v>
      </c>
      <c r="BH227" s="67"/>
    </row>
    <row r="228" spans="1:60" s="376" customFormat="1" x14ac:dyDescent="0.25">
      <c r="A228" s="766" t="s">
        <v>698</v>
      </c>
      <c r="B228" s="484"/>
      <c r="C228" s="803"/>
      <c r="D228" s="803">
        <f>-(D227-C227)*10000</f>
        <v>64.672965106556674</v>
      </c>
      <c r="E228" s="803">
        <f>-(E227-D227)*10000</f>
        <v>102.26788650482405</v>
      </c>
      <c r="F228" s="803">
        <f>-(F227-E227)*10000</f>
        <v>39.56195079846389</v>
      </c>
      <c r="G228" s="406"/>
      <c r="H228" s="406"/>
      <c r="I228" s="406"/>
      <c r="J228" s="406"/>
      <c r="K228" s="803">
        <f t="shared" ref="K228:AW228" si="172">-(K227-F227)*10000</f>
        <v>142.62399616970416</v>
      </c>
      <c r="L228" s="406">
        <f t="shared" si="172"/>
        <v>83.557346951164263</v>
      </c>
      <c r="M228" s="406">
        <f t="shared" si="172"/>
        <v>170.81710066784174</v>
      </c>
      <c r="N228" s="406">
        <f t="shared" si="172"/>
        <v>-54.869163095920683</v>
      </c>
      <c r="O228" s="406">
        <f t="shared" si="172"/>
        <v>-282.47998669030176</v>
      </c>
      <c r="P228" s="803">
        <f t="shared" si="172"/>
        <v>-28.780079604456972</v>
      </c>
      <c r="Q228" s="406">
        <f t="shared" si="172"/>
        <v>-158.07836764039669</v>
      </c>
      <c r="R228" s="406">
        <f t="shared" si="172"/>
        <v>-297.69964888613816</v>
      </c>
      <c r="S228" s="406">
        <f t="shared" si="172"/>
        <v>-163.69687274514973</v>
      </c>
      <c r="T228" s="406">
        <f t="shared" si="172"/>
        <v>142.30491424885236</v>
      </c>
      <c r="U228" s="803">
        <f t="shared" si="172"/>
        <v>-112.52182605795275</v>
      </c>
      <c r="V228" s="406">
        <f t="shared" si="172"/>
        <v>55.204967394173323</v>
      </c>
      <c r="W228" s="406">
        <f t="shared" si="172"/>
        <v>55.807808585170839</v>
      </c>
      <c r="X228" s="406">
        <f t="shared" si="172"/>
        <v>-160.92108257190819</v>
      </c>
      <c r="Y228" s="406">
        <f t="shared" si="172"/>
        <v>-39.721662256459041</v>
      </c>
      <c r="Z228" s="803">
        <f t="shared" si="172"/>
        <v>-27.286613723313813</v>
      </c>
      <c r="AA228" s="406">
        <f t="shared" si="172"/>
        <v>21.178047728848266</v>
      </c>
      <c r="AB228" s="406">
        <f t="shared" si="172"/>
        <v>25.749632478950236</v>
      </c>
      <c r="AC228" s="406">
        <f t="shared" si="172"/>
        <v>177.26195497101361</v>
      </c>
      <c r="AD228" s="406">
        <f t="shared" si="172"/>
        <v>-150.65729451530535</v>
      </c>
      <c r="AE228" s="803">
        <f t="shared" si="172"/>
        <v>14.493567702351246</v>
      </c>
      <c r="AF228" s="406">
        <f t="shared" si="172"/>
        <v>-289.28157560498323</v>
      </c>
      <c r="AG228" s="406">
        <f t="shared" si="172"/>
        <v>-398.05730487257415</v>
      </c>
      <c r="AH228" s="406">
        <f t="shared" si="172"/>
        <v>-95.245304265719199</v>
      </c>
      <c r="AI228" s="406">
        <f t="shared" si="172"/>
        <v>-324.55867705218856</v>
      </c>
      <c r="AJ228" s="803">
        <f t="shared" si="172"/>
        <v>-271.84559958183752</v>
      </c>
      <c r="AK228" s="406">
        <f t="shared" si="172"/>
        <v>86.601788489928396</v>
      </c>
      <c r="AL228" s="406">
        <f t="shared" si="172"/>
        <v>290.00357308480164</v>
      </c>
      <c r="AM228" s="406">
        <f t="shared" si="172"/>
        <v>220.14856664834923</v>
      </c>
      <c r="AN228" s="406">
        <f t="shared" si="172"/>
        <v>136.81993070850939</v>
      </c>
      <c r="AO228" s="803">
        <f t="shared" si="172"/>
        <v>184.263964930996</v>
      </c>
      <c r="AP228" s="406">
        <f t="shared" si="172"/>
        <v>490.27283020079165</v>
      </c>
      <c r="AQ228" s="406">
        <f t="shared" si="172"/>
        <v>518.64913196279394</v>
      </c>
      <c r="AR228" s="406">
        <f t="shared" si="172"/>
        <v>236.070725784584</v>
      </c>
      <c r="AS228" s="406">
        <f t="shared" si="172"/>
        <v>459.9124360496337</v>
      </c>
      <c r="AT228" s="803">
        <f t="shared" si="172"/>
        <v>424.45183729004549</v>
      </c>
      <c r="AU228" s="406">
        <f t="shared" si="172"/>
        <v>158.06754972988961</v>
      </c>
      <c r="AV228" s="406">
        <f t="shared" si="172"/>
        <v>-116.16275507745785</v>
      </c>
      <c r="AW228" s="572">
        <f t="shared" si="172"/>
        <v>-29.998569115877867</v>
      </c>
      <c r="AX228" s="768">
        <v>-180</v>
      </c>
      <c r="AY228" s="803">
        <f>-(AY227-AT227)*10000</f>
        <v>-43.440539831777343</v>
      </c>
      <c r="AZ228" s="768">
        <v>5</v>
      </c>
      <c r="BA228" s="768">
        <v>5</v>
      </c>
      <c r="BB228" s="768">
        <v>10</v>
      </c>
      <c r="BC228" s="768">
        <v>60</v>
      </c>
      <c r="BD228" s="803">
        <f>-(BD227-AY227)*10000</f>
        <v>19.89962362632755</v>
      </c>
      <c r="BE228" s="769">
        <v>5</v>
      </c>
      <c r="BF228" s="769">
        <v>5</v>
      </c>
      <c r="BG228" s="769">
        <v>5</v>
      </c>
      <c r="BH228" s="280"/>
    </row>
    <row r="229" spans="1:60" s="420" customFormat="1" x14ac:dyDescent="0.25">
      <c r="A229" s="494"/>
      <c r="B229" s="493"/>
      <c r="C229" s="874"/>
      <c r="D229" s="874"/>
      <c r="E229" s="874"/>
      <c r="F229" s="874"/>
      <c r="G229" s="879"/>
      <c r="H229" s="879"/>
      <c r="I229" s="879"/>
      <c r="J229" s="879"/>
      <c r="K229" s="874"/>
      <c r="L229" s="879"/>
      <c r="M229" s="879"/>
      <c r="N229" s="879"/>
      <c r="O229" s="879"/>
      <c r="P229" s="874"/>
      <c r="Q229" s="879"/>
      <c r="R229" s="879"/>
      <c r="S229" s="879"/>
      <c r="T229" s="879"/>
      <c r="U229" s="874"/>
      <c r="V229" s="879"/>
      <c r="W229" s="879"/>
      <c r="X229" s="879"/>
      <c r="Y229" s="879"/>
      <c r="Z229" s="874"/>
      <c r="AA229" s="879"/>
      <c r="AB229" s="879"/>
      <c r="AC229" s="879"/>
      <c r="AD229" s="879"/>
      <c r="AE229" s="874"/>
      <c r="AF229" s="879"/>
      <c r="AG229" s="879"/>
      <c r="AH229" s="879"/>
      <c r="AI229" s="879"/>
      <c r="AJ229" s="874"/>
      <c r="AK229" s="879"/>
      <c r="AL229" s="879"/>
      <c r="AM229" s="879"/>
      <c r="AN229" s="879"/>
      <c r="AO229" s="874"/>
      <c r="AP229" s="879"/>
      <c r="AQ229" s="879"/>
      <c r="AR229" s="879"/>
      <c r="AS229" s="879"/>
      <c r="AT229" s="874"/>
      <c r="AU229" s="879"/>
      <c r="AV229" s="879"/>
      <c r="AW229" s="880"/>
      <c r="AX229" s="879"/>
      <c r="AY229" s="874"/>
      <c r="AZ229" s="879"/>
      <c r="BA229" s="879"/>
      <c r="BB229" s="879"/>
      <c r="BC229" s="879"/>
      <c r="BD229" s="874"/>
      <c r="BE229" s="874"/>
      <c r="BF229" s="874"/>
      <c r="BG229" s="874"/>
      <c r="BH229" s="824"/>
    </row>
    <row r="230" spans="1:60" s="420" customFormat="1" x14ac:dyDescent="0.25">
      <c r="A230" s="756" t="s">
        <v>699</v>
      </c>
      <c r="B230" s="442"/>
      <c r="C230" s="864">
        <f t="shared" ref="C230:AV230" si="173">C341</f>
        <v>46.773000000000003</v>
      </c>
      <c r="D230" s="864">
        <f t="shared" si="173"/>
        <v>64.460999999999999</v>
      </c>
      <c r="E230" s="864">
        <f t="shared" si="173"/>
        <v>126.937</v>
      </c>
      <c r="F230" s="864">
        <f t="shared" si="173"/>
        <v>139.01599999999999</v>
      </c>
      <c r="G230" s="867">
        <f t="shared" si="173"/>
        <v>44.125999999999998</v>
      </c>
      <c r="H230" s="867">
        <f t="shared" si="173"/>
        <v>43.844000000000001</v>
      </c>
      <c r="I230" s="867">
        <f t="shared" si="173"/>
        <v>46.210999999999999</v>
      </c>
      <c r="J230" s="867">
        <f t="shared" si="173"/>
        <v>46.11999999999999</v>
      </c>
      <c r="K230" s="864">
        <f t="shared" si="173"/>
        <v>180.30099999999999</v>
      </c>
      <c r="L230" s="867">
        <f t="shared" si="173"/>
        <v>55.9</v>
      </c>
      <c r="M230" s="867">
        <f t="shared" si="173"/>
        <v>60.014000000000003</v>
      </c>
      <c r="N230" s="867">
        <f t="shared" si="173"/>
        <v>78.024000000000001</v>
      </c>
      <c r="O230" s="867">
        <f t="shared" si="173"/>
        <v>75.802999999999969</v>
      </c>
      <c r="P230" s="864">
        <f t="shared" si="173"/>
        <v>269.74099999999999</v>
      </c>
      <c r="Q230" s="867">
        <f t="shared" si="173"/>
        <v>91.489000000000004</v>
      </c>
      <c r="R230" s="867">
        <f t="shared" si="173"/>
        <v>95.906000000000006</v>
      </c>
      <c r="S230" s="867">
        <f t="shared" si="173"/>
        <v>110.892</v>
      </c>
      <c r="T230" s="867">
        <f t="shared" si="173"/>
        <v>109.04200000000003</v>
      </c>
      <c r="U230" s="864">
        <f t="shared" si="173"/>
        <v>407.32900000000001</v>
      </c>
      <c r="V230" s="867">
        <f t="shared" si="173"/>
        <v>71.626999999999995</v>
      </c>
      <c r="W230" s="867">
        <f t="shared" si="173"/>
        <v>78.643000000000001</v>
      </c>
      <c r="X230" s="867">
        <f t="shared" si="173"/>
        <v>81.861000000000004</v>
      </c>
      <c r="Y230" s="867">
        <f t="shared" si="173"/>
        <v>83.531999999999996</v>
      </c>
      <c r="Z230" s="864">
        <f t="shared" si="173"/>
        <v>315.66300000000001</v>
      </c>
      <c r="AA230" s="867">
        <f t="shared" si="173"/>
        <v>98.942999999999998</v>
      </c>
      <c r="AB230" s="867">
        <f t="shared" si="173"/>
        <v>112.31699999999999</v>
      </c>
      <c r="AC230" s="867">
        <f t="shared" si="173"/>
        <v>107.324</v>
      </c>
      <c r="AD230" s="867">
        <f t="shared" si="173"/>
        <v>112.459</v>
      </c>
      <c r="AE230" s="864">
        <f t="shared" si="173"/>
        <v>431.04300000000001</v>
      </c>
      <c r="AF230" s="867">
        <f t="shared" si="173"/>
        <v>134.61199999999999</v>
      </c>
      <c r="AG230" s="867">
        <f t="shared" si="173"/>
        <v>151.524</v>
      </c>
      <c r="AH230" s="867">
        <f t="shared" si="173"/>
        <v>168.62799999999999</v>
      </c>
      <c r="AI230" s="867">
        <f t="shared" si="173"/>
        <v>175.53000000000003</v>
      </c>
      <c r="AJ230" s="864">
        <f t="shared" si="173"/>
        <v>630.29399999999998</v>
      </c>
      <c r="AK230" s="867">
        <f t="shared" si="173"/>
        <v>201.952</v>
      </c>
      <c r="AL230" s="867">
        <f t="shared" si="173"/>
        <v>224.65700000000001</v>
      </c>
      <c r="AM230" s="867">
        <f t="shared" si="173"/>
        <v>233.17400000000001</v>
      </c>
      <c r="AN230" s="867">
        <f t="shared" si="173"/>
        <v>254.58599999999998</v>
      </c>
      <c r="AO230" s="864">
        <f t="shared" si="173"/>
        <v>914.36900000000003</v>
      </c>
      <c r="AP230" s="867">
        <f t="shared" si="173"/>
        <v>252.08699999999999</v>
      </c>
      <c r="AQ230" s="867">
        <f t="shared" si="173"/>
        <v>277.23599999999999</v>
      </c>
      <c r="AR230" s="867">
        <f t="shared" si="173"/>
        <v>271.62400000000002</v>
      </c>
      <c r="AS230" s="867">
        <f t="shared" si="173"/>
        <v>275.5390000000001</v>
      </c>
      <c r="AT230" s="864">
        <f t="shared" si="173"/>
        <v>1076.4860000000001</v>
      </c>
      <c r="AU230" s="867">
        <f t="shared" si="173"/>
        <v>297.19600000000003</v>
      </c>
      <c r="AV230" s="867">
        <f t="shared" si="173"/>
        <v>334.84500000000003</v>
      </c>
      <c r="AW230" s="868">
        <f>AW341</f>
        <v>321.79000000000002</v>
      </c>
      <c r="AX230" s="867">
        <f>AX232*AX206</f>
        <v>412.95886225424772</v>
      </c>
      <c r="AY230" s="864">
        <f>SUM(AU230,AV230,AW230,AX230)</f>
        <v>1366.789862254248</v>
      </c>
      <c r="AZ230" s="867">
        <f>AZ232*AZ206</f>
        <v>327.82421843603504</v>
      </c>
      <c r="BA230" s="867">
        <f>BA232*BA206</f>
        <v>358.75956074547884</v>
      </c>
      <c r="BB230" s="867">
        <f>BB232*BB206</f>
        <v>347.03861555493836</v>
      </c>
      <c r="BC230" s="867">
        <f>BC232*BC206</f>
        <v>448.62406935286543</v>
      </c>
      <c r="BD230" s="864">
        <f>SUM(AZ230,BA230,BB230,BC230)</f>
        <v>1482.2464640893177</v>
      </c>
      <c r="BE230" s="864">
        <f>BE232*BE206</f>
        <v>1635.1299054642475</v>
      </c>
      <c r="BF230" s="864">
        <f>BF232*BF206</f>
        <v>1839.7692575514204</v>
      </c>
      <c r="BG230" s="864">
        <f>BG232*BG206</f>
        <v>2074.503837989429</v>
      </c>
      <c r="BH230" s="821"/>
    </row>
    <row r="231" spans="1:60" s="655" customFormat="1" x14ac:dyDescent="0.25">
      <c r="A231" s="757" t="s">
        <v>700</v>
      </c>
      <c r="B231" s="654"/>
      <c r="C231" s="796"/>
      <c r="D231" s="796">
        <f>D230/C230-1</f>
        <v>0.37816689115515345</v>
      </c>
      <c r="E231" s="796">
        <f>E230/D230-1</f>
        <v>0.96920618668652359</v>
      </c>
      <c r="F231" s="796">
        <f>F230/E230-1</f>
        <v>9.5157440305033258E-2</v>
      </c>
      <c r="G231" s="163"/>
      <c r="H231" s="163"/>
      <c r="I231" s="163"/>
      <c r="J231" s="163"/>
      <c r="K231" s="796">
        <f t="shared" ref="K231:BD231" si="174">K230/F230-1</f>
        <v>0.29698020371755773</v>
      </c>
      <c r="L231" s="163">
        <f t="shared" si="174"/>
        <v>0.26682681412319265</v>
      </c>
      <c r="M231" s="163">
        <f t="shared" si="174"/>
        <v>0.3688075905483077</v>
      </c>
      <c r="N231" s="163">
        <f t="shared" si="174"/>
        <v>0.68842916188786218</v>
      </c>
      <c r="O231" s="163">
        <f t="shared" si="174"/>
        <v>0.64360364267129189</v>
      </c>
      <c r="P231" s="796">
        <f t="shared" si="174"/>
        <v>0.49605936739119594</v>
      </c>
      <c r="Q231" s="163">
        <f t="shared" si="174"/>
        <v>0.63665474060822902</v>
      </c>
      <c r="R231" s="163">
        <f t="shared" si="174"/>
        <v>0.5980604525610691</v>
      </c>
      <c r="S231" s="163">
        <f t="shared" si="174"/>
        <v>0.42125499846201153</v>
      </c>
      <c r="T231" s="163">
        <f t="shared" si="174"/>
        <v>0.43849188026859198</v>
      </c>
      <c r="U231" s="796">
        <f t="shared" si="174"/>
        <v>0.5100744788519358</v>
      </c>
      <c r="V231" s="163">
        <f t="shared" si="174"/>
        <v>-0.21709713736077574</v>
      </c>
      <c r="W231" s="163">
        <f t="shared" si="174"/>
        <v>-0.17999916584989473</v>
      </c>
      <c r="X231" s="163">
        <f t="shared" si="174"/>
        <v>-0.26179526025321931</v>
      </c>
      <c r="Y231" s="163">
        <f t="shared" si="174"/>
        <v>-0.23394655270446274</v>
      </c>
      <c r="Z231" s="796">
        <f t="shared" si="174"/>
        <v>-0.22504167392942809</v>
      </c>
      <c r="AA231" s="163">
        <f t="shared" si="174"/>
        <v>0.38136456922668827</v>
      </c>
      <c r="AB231" s="163">
        <f t="shared" si="174"/>
        <v>0.42818814134760874</v>
      </c>
      <c r="AC231" s="163">
        <f t="shared" si="174"/>
        <v>0.31105166074198931</v>
      </c>
      <c r="AD231" s="163">
        <f t="shared" si="174"/>
        <v>0.34629842455585891</v>
      </c>
      <c r="AE231" s="796">
        <f t="shared" si="174"/>
        <v>0.36551638931392016</v>
      </c>
      <c r="AF231" s="163">
        <f t="shared" si="174"/>
        <v>0.36050049018121544</v>
      </c>
      <c r="AG231" s="163">
        <f t="shared" si="174"/>
        <v>0.34907449451107153</v>
      </c>
      <c r="AH231" s="163">
        <f t="shared" si="174"/>
        <v>0.57120494949871414</v>
      </c>
      <c r="AI231" s="163">
        <f t="shared" si="174"/>
        <v>0.56083550449497177</v>
      </c>
      <c r="AJ231" s="796">
        <f t="shared" si="174"/>
        <v>0.46225318587704711</v>
      </c>
      <c r="AK231" s="163">
        <f t="shared" si="174"/>
        <v>0.50025257777909848</v>
      </c>
      <c r="AL231" s="163">
        <f t="shared" si="174"/>
        <v>0.48264961326258549</v>
      </c>
      <c r="AM231" s="163">
        <f t="shared" si="174"/>
        <v>0.38277154446473904</v>
      </c>
      <c r="AN231" s="163">
        <f t="shared" si="174"/>
        <v>0.45038454964963215</v>
      </c>
      <c r="AO231" s="796">
        <f t="shared" si="174"/>
        <v>0.45070237063973329</v>
      </c>
      <c r="AP231" s="163">
        <f t="shared" si="174"/>
        <v>0.24825205989542054</v>
      </c>
      <c r="AQ231" s="163">
        <f t="shared" si="174"/>
        <v>0.23404122729316246</v>
      </c>
      <c r="AR231" s="163">
        <f t="shared" si="174"/>
        <v>0.16489831627883045</v>
      </c>
      <c r="AS231" s="163">
        <f t="shared" si="174"/>
        <v>8.2302247570565923E-2</v>
      </c>
      <c r="AT231" s="796">
        <f t="shared" si="174"/>
        <v>0.1772993178902611</v>
      </c>
      <c r="AU231" s="163">
        <f t="shared" si="174"/>
        <v>0.17894219059293048</v>
      </c>
      <c r="AV231" s="163">
        <f t="shared" si="174"/>
        <v>0.20779768861186865</v>
      </c>
      <c r="AW231" s="637">
        <f t="shared" si="174"/>
        <v>0.18468912909021284</v>
      </c>
      <c r="AX231" s="163">
        <f t="shared" si="174"/>
        <v>0.49873107710432119</v>
      </c>
      <c r="AY231" s="796">
        <f t="shared" si="174"/>
        <v>0.26967732256085797</v>
      </c>
      <c r="AZ231" s="163">
        <f t="shared" si="174"/>
        <v>0.10305730371887578</v>
      </c>
      <c r="BA231" s="163">
        <f t="shared" si="174"/>
        <v>7.1419793473036286E-2</v>
      </c>
      <c r="BB231" s="163">
        <f t="shared" si="174"/>
        <v>7.8463021084988149E-2</v>
      </c>
      <c r="BC231" s="163">
        <f t="shared" si="174"/>
        <v>8.6365036226440317E-2</v>
      </c>
      <c r="BD231" s="796">
        <f t="shared" si="174"/>
        <v>8.4472825723661105E-2</v>
      </c>
      <c r="BE231" s="796">
        <f>BE230/BD230-1</f>
        <v>0.10314306363946057</v>
      </c>
      <c r="BF231" s="796">
        <f>BF230/BE230-1</f>
        <v>0.1251517395671824</v>
      </c>
      <c r="BG231" s="796">
        <f>BG230/BF230-1</f>
        <v>0.12758914166791802</v>
      </c>
      <c r="BH231" s="648"/>
    </row>
    <row r="232" spans="1:60" s="416" customFormat="1" x14ac:dyDescent="0.25">
      <c r="A232" s="758" t="s">
        <v>46</v>
      </c>
      <c r="B232" s="496"/>
      <c r="C232" s="325">
        <f t="shared" ref="C232:AW232" si="175">C230/C206</f>
        <v>2.8003273724172575E-2</v>
      </c>
      <c r="D232" s="325">
        <f t="shared" si="175"/>
        <v>2.9806831975030344E-2</v>
      </c>
      <c r="E232" s="325">
        <f t="shared" si="175"/>
        <v>3.9611156168193176E-2</v>
      </c>
      <c r="F232" s="325">
        <f t="shared" si="175"/>
        <v>3.851624782990079E-2</v>
      </c>
      <c r="G232" s="168">
        <f t="shared" si="175"/>
        <v>4.3093438128991239E-2</v>
      </c>
      <c r="H232" s="168">
        <f t="shared" si="175"/>
        <v>4.0999764347673211E-2</v>
      </c>
      <c r="I232" s="168">
        <f t="shared" si="175"/>
        <v>4.1782135426885553E-2</v>
      </c>
      <c r="J232" s="168">
        <f t="shared" si="175"/>
        <v>3.9243382146473473E-2</v>
      </c>
      <c r="K232" s="325">
        <f t="shared" si="175"/>
        <v>4.1215783431575545E-2</v>
      </c>
      <c r="L232" s="168">
        <f t="shared" si="175"/>
        <v>4.4012663679474429E-2</v>
      </c>
      <c r="M232" s="168">
        <f t="shared" si="175"/>
        <v>4.4772968210401769E-2</v>
      </c>
      <c r="N232" s="168">
        <f t="shared" si="175"/>
        <v>5.5358470646331287E-2</v>
      </c>
      <c r="O232" s="168">
        <f t="shared" si="175"/>
        <v>5.1055142760155381E-2</v>
      </c>
      <c r="P232" s="325">
        <f t="shared" si="175"/>
        <v>4.9002335477457623E-2</v>
      </c>
      <c r="Q232" s="168">
        <f t="shared" si="175"/>
        <v>5.8157341197066489E-2</v>
      </c>
      <c r="R232" s="168">
        <f t="shared" si="175"/>
        <v>5.831236692053355E-2</v>
      </c>
      <c r="S232" s="168">
        <f t="shared" si="175"/>
        <v>6.3791342965044531E-2</v>
      </c>
      <c r="T232" s="168">
        <f t="shared" si="175"/>
        <v>5.9803667240158544E-2</v>
      </c>
      <c r="U232" s="325">
        <f t="shared" si="175"/>
        <v>6.0082356972353902E-2</v>
      </c>
      <c r="V232" s="168">
        <f t="shared" si="175"/>
        <v>3.6586649068107241E-2</v>
      </c>
      <c r="W232" s="168">
        <f t="shared" si="175"/>
        <v>3.7356474716939543E-2</v>
      </c>
      <c r="X232" s="168">
        <f t="shared" si="175"/>
        <v>3.5744227111486046E-2</v>
      </c>
      <c r="Y232" s="168">
        <f t="shared" si="175"/>
        <v>3.3715688257025825E-2</v>
      </c>
      <c r="Z232" s="325">
        <f t="shared" si="175"/>
        <v>3.5746215830306856E-2</v>
      </c>
      <c r="AA232" s="168">
        <f t="shared" si="175"/>
        <v>3.7526240833486615E-2</v>
      </c>
      <c r="AB232" s="168">
        <f t="shared" si="175"/>
        <v>4.0322545902585709E-2</v>
      </c>
      <c r="AC232" s="168">
        <f t="shared" si="175"/>
        <v>3.5956137291577255E-2</v>
      </c>
      <c r="AD232" s="168">
        <f t="shared" si="175"/>
        <v>3.4226228066304397E-2</v>
      </c>
      <c r="AE232" s="325">
        <f t="shared" si="175"/>
        <v>3.6864241857300355E-2</v>
      </c>
      <c r="AF232" s="168">
        <f t="shared" si="175"/>
        <v>3.6373206631114527E-2</v>
      </c>
      <c r="AG232" s="168">
        <f t="shared" si="175"/>
        <v>3.8780017761762049E-2</v>
      </c>
      <c r="AH232" s="168">
        <f t="shared" si="175"/>
        <v>4.2163598603181397E-2</v>
      </c>
      <c r="AI232" s="168">
        <f t="shared" si="175"/>
        <v>4.1924209684580813E-2</v>
      </c>
      <c r="AJ232" s="325">
        <f t="shared" si="175"/>
        <v>3.9906318345285817E-2</v>
      </c>
      <c r="AK232" s="168">
        <f t="shared" si="175"/>
        <v>4.4669842370877892E-2</v>
      </c>
      <c r="AL232" s="168">
        <f t="shared" si="175"/>
        <v>4.5633090912340885E-2</v>
      </c>
      <c r="AM232" s="168">
        <f t="shared" si="175"/>
        <v>4.4457239930942506E-2</v>
      </c>
      <c r="AN232" s="168">
        <f t="shared" si="175"/>
        <v>4.6564073750135798E-2</v>
      </c>
      <c r="AO232" s="325">
        <f t="shared" si="175"/>
        <v>4.5363600043202057E-2</v>
      </c>
      <c r="AP232" s="168">
        <f t="shared" si="175"/>
        <v>4.3706745038872577E-2</v>
      </c>
      <c r="AQ232" s="168">
        <f t="shared" si="175"/>
        <v>4.5091591380101707E-2</v>
      </c>
      <c r="AR232" s="168">
        <f t="shared" si="175"/>
        <v>4.2206233819589274E-2</v>
      </c>
      <c r="AS232" s="168">
        <f t="shared" si="175"/>
        <v>4.1469095523747522E-2</v>
      </c>
      <c r="AT232" s="325">
        <f t="shared" si="175"/>
        <v>4.3066234129096208E-2</v>
      </c>
      <c r="AU232" s="168">
        <f t="shared" si="175"/>
        <v>4.1488803595893617E-2</v>
      </c>
      <c r="AV232" s="168">
        <f t="shared" si="175"/>
        <v>4.5608168158744133E-2</v>
      </c>
      <c r="AW232" s="579">
        <f t="shared" si="175"/>
        <v>4.300012280404257E-2</v>
      </c>
      <c r="AX232" s="168">
        <f>-AX233/10000+AS232</f>
        <v>5.3469095523747526E-2</v>
      </c>
      <c r="AY232" s="325">
        <f>AY230/AY206</f>
        <v>4.6001514840342143E-2</v>
      </c>
      <c r="AZ232" s="168">
        <f>-AZ233/10000+AU232</f>
        <v>4.0988803595893616E-2</v>
      </c>
      <c r="BA232" s="168">
        <f>-BA233/10000+AV232</f>
        <v>4.3608168158744132E-2</v>
      </c>
      <c r="BB232" s="168">
        <f>-BB233/10000+AW232</f>
        <v>4.1000122804042569E-2</v>
      </c>
      <c r="BC232" s="168">
        <f>-BC233/10000+AX232</f>
        <v>5.1469095523747524E-2</v>
      </c>
      <c r="BD232" s="325">
        <f>BD230/BD206</f>
        <v>4.4371337348613989E-2</v>
      </c>
      <c r="BE232" s="325">
        <f>-BE233/10000+BD232</f>
        <v>4.3371337348613988E-2</v>
      </c>
      <c r="BF232" s="325">
        <f>-BF233/10000+BE232</f>
        <v>4.2871337348613987E-2</v>
      </c>
      <c r="BG232" s="325">
        <f>-BG233/10000+BF232</f>
        <v>4.2371337348613987E-2</v>
      </c>
      <c r="BH232" s="67"/>
    </row>
    <row r="233" spans="1:60" s="376" customFormat="1" x14ac:dyDescent="0.25">
      <c r="A233" s="766" t="s">
        <v>701</v>
      </c>
      <c r="B233" s="484"/>
      <c r="C233" s="803"/>
      <c r="D233" s="803">
        <f>-(D232-C232)*10000</f>
        <v>-18.03558250857769</v>
      </c>
      <c r="E233" s="803">
        <f>-(E232-D232)*10000</f>
        <v>-98.04324193162833</v>
      </c>
      <c r="F233" s="803">
        <f>-(F232-E232)*10000</f>
        <v>10.949083382923858</v>
      </c>
      <c r="G233" s="406"/>
      <c r="H233" s="406"/>
      <c r="I233" s="406"/>
      <c r="J233" s="406"/>
      <c r="K233" s="803">
        <f t="shared" ref="K233:AW233" si="176">-(K232-F232)*10000</f>
        <v>-26.995356016747547</v>
      </c>
      <c r="L233" s="406">
        <f t="shared" si="176"/>
        <v>-9.1922555048318948</v>
      </c>
      <c r="M233" s="406">
        <f t="shared" si="176"/>
        <v>-37.732038627285583</v>
      </c>
      <c r="N233" s="406">
        <f t="shared" si="176"/>
        <v>-135.76335219445735</v>
      </c>
      <c r="O233" s="406">
        <f t="shared" si="176"/>
        <v>-118.11760613681908</v>
      </c>
      <c r="P233" s="803">
        <f t="shared" si="176"/>
        <v>-77.865520458820782</v>
      </c>
      <c r="Q233" s="406">
        <f t="shared" si="176"/>
        <v>-141.44677517592061</v>
      </c>
      <c r="R233" s="406">
        <f t="shared" si="176"/>
        <v>-135.3939871013178</v>
      </c>
      <c r="S233" s="406">
        <f t="shared" si="176"/>
        <v>-84.328723187132439</v>
      </c>
      <c r="T233" s="406">
        <f t="shared" si="176"/>
        <v>-87.485244800031623</v>
      </c>
      <c r="U233" s="803">
        <f t="shared" si="176"/>
        <v>-110.80021494896279</v>
      </c>
      <c r="V233" s="406">
        <f t="shared" si="176"/>
        <v>215.70692128959249</v>
      </c>
      <c r="W233" s="406">
        <f t="shared" si="176"/>
        <v>209.55892203594007</v>
      </c>
      <c r="X233" s="406">
        <f t="shared" si="176"/>
        <v>280.47115853558483</v>
      </c>
      <c r="Y233" s="406">
        <f t="shared" si="176"/>
        <v>260.87978983132717</v>
      </c>
      <c r="Z233" s="803">
        <f t="shared" si="176"/>
        <v>243.36141142047046</v>
      </c>
      <c r="AA233" s="406">
        <f t="shared" si="176"/>
        <v>-9.3959176537937452</v>
      </c>
      <c r="AB233" s="406">
        <f t="shared" si="176"/>
        <v>-29.660711856461656</v>
      </c>
      <c r="AC233" s="406">
        <f t="shared" si="176"/>
        <v>-2.1191018009120848</v>
      </c>
      <c r="AD233" s="406">
        <f t="shared" si="176"/>
        <v>-5.1053980927857205</v>
      </c>
      <c r="AE233" s="803">
        <f t="shared" si="176"/>
        <v>-11.180260269934989</v>
      </c>
      <c r="AF233" s="406">
        <f t="shared" si="176"/>
        <v>11.530342023720886</v>
      </c>
      <c r="AG233" s="406">
        <f t="shared" si="176"/>
        <v>15.425281408236597</v>
      </c>
      <c r="AH233" s="406">
        <f t="shared" si="176"/>
        <v>-62.074613116041427</v>
      </c>
      <c r="AI233" s="406">
        <f t="shared" si="176"/>
        <v>-76.979816182764154</v>
      </c>
      <c r="AJ233" s="803">
        <f t="shared" si="176"/>
        <v>-30.420764879854623</v>
      </c>
      <c r="AK233" s="406">
        <f t="shared" si="176"/>
        <v>-82.966357397633658</v>
      </c>
      <c r="AL233" s="406">
        <f t="shared" si="176"/>
        <v>-68.530731505788353</v>
      </c>
      <c r="AM233" s="406">
        <f t="shared" si="176"/>
        <v>-22.936413277611088</v>
      </c>
      <c r="AN233" s="406">
        <f t="shared" si="176"/>
        <v>-46.398640655549855</v>
      </c>
      <c r="AO233" s="803">
        <f t="shared" si="176"/>
        <v>-54.572816979162397</v>
      </c>
      <c r="AP233" s="406">
        <f t="shared" si="176"/>
        <v>9.6309733200531511</v>
      </c>
      <c r="AQ233" s="406">
        <f t="shared" si="176"/>
        <v>5.4149953223917722</v>
      </c>
      <c r="AR233" s="406">
        <f t="shared" si="176"/>
        <v>22.51006111353232</v>
      </c>
      <c r="AS233" s="406">
        <f t="shared" si="176"/>
        <v>50.94978226388276</v>
      </c>
      <c r="AT233" s="803">
        <f t="shared" si="176"/>
        <v>22.973659141058491</v>
      </c>
      <c r="AU233" s="406">
        <f t="shared" si="176"/>
        <v>22.179414429789603</v>
      </c>
      <c r="AV233" s="406">
        <f t="shared" si="176"/>
        <v>-5.1657677864242606</v>
      </c>
      <c r="AW233" s="572">
        <f t="shared" si="176"/>
        <v>-7.9388898445329623</v>
      </c>
      <c r="AX233" s="768">
        <v>-120</v>
      </c>
      <c r="AY233" s="803">
        <f>-(AY232-AT232)*10000</f>
        <v>-29.352807112459356</v>
      </c>
      <c r="AZ233" s="768">
        <v>5</v>
      </c>
      <c r="BA233" s="768">
        <v>20</v>
      </c>
      <c r="BB233" s="768">
        <v>20</v>
      </c>
      <c r="BC233" s="768">
        <v>20</v>
      </c>
      <c r="BD233" s="803">
        <f>-(BD232-AY232)*10000</f>
        <v>16.301774917281548</v>
      </c>
      <c r="BE233" s="769">
        <v>10</v>
      </c>
      <c r="BF233" s="769">
        <v>5</v>
      </c>
      <c r="BG233" s="769">
        <v>5</v>
      </c>
      <c r="BH233" s="280"/>
    </row>
    <row r="234" spans="1:60" s="753" customFormat="1" ht="7.5" customHeight="1" x14ac:dyDescent="0.25">
      <c r="A234" s="760"/>
      <c r="B234" s="761"/>
      <c r="C234" s="762"/>
      <c r="D234" s="762"/>
      <c r="E234" s="762"/>
      <c r="F234" s="762"/>
      <c r="G234" s="763"/>
      <c r="H234" s="763"/>
      <c r="I234" s="763"/>
      <c r="J234" s="763"/>
      <c r="K234" s="762"/>
      <c r="L234" s="763"/>
      <c r="M234" s="763"/>
      <c r="N234" s="763"/>
      <c r="O234" s="763"/>
      <c r="P234" s="762"/>
      <c r="Q234" s="763"/>
      <c r="R234" s="763"/>
      <c r="S234" s="763"/>
      <c r="T234" s="763"/>
      <c r="U234" s="762"/>
      <c r="V234" s="763"/>
      <c r="W234" s="764"/>
      <c r="X234" s="764"/>
      <c r="Y234" s="764"/>
      <c r="Z234" s="746"/>
      <c r="AA234" s="763"/>
      <c r="AB234" s="764"/>
      <c r="AC234" s="763"/>
      <c r="AD234" s="764"/>
      <c r="AE234" s="746"/>
      <c r="AF234" s="763"/>
      <c r="AG234" s="764"/>
      <c r="AH234" s="763"/>
      <c r="AI234" s="764"/>
      <c r="AJ234" s="746"/>
      <c r="AK234" s="763"/>
      <c r="AL234" s="764"/>
      <c r="AM234" s="763"/>
      <c r="AN234" s="764"/>
      <c r="AO234" s="746"/>
      <c r="AP234" s="763"/>
      <c r="AQ234" s="764"/>
      <c r="AR234" s="763"/>
      <c r="AS234" s="764"/>
      <c r="AT234" s="746"/>
      <c r="AU234" s="763"/>
      <c r="AV234" s="764"/>
      <c r="AW234" s="765"/>
      <c r="AX234" s="763"/>
      <c r="AY234" s="746"/>
      <c r="AZ234" s="763"/>
      <c r="BA234" s="763"/>
      <c r="BB234" s="763"/>
      <c r="BC234" s="763"/>
      <c r="BD234" s="746"/>
      <c r="BE234" s="746"/>
      <c r="BF234" s="746"/>
      <c r="BG234" s="746"/>
      <c r="BH234" s="759"/>
    </row>
    <row r="235" spans="1:60" s="420" customFormat="1" x14ac:dyDescent="0.25">
      <c r="A235" s="494" t="s">
        <v>702</v>
      </c>
      <c r="B235" s="493"/>
      <c r="C235" s="874">
        <f t="shared" ref="C235:AW235" si="177">C388</f>
        <v>191.93900000000002</v>
      </c>
      <c r="D235" s="874">
        <f t="shared" si="177"/>
        <v>283.64099999999996</v>
      </c>
      <c r="E235" s="874">
        <f t="shared" si="177"/>
        <v>376.0680000000001</v>
      </c>
      <c r="F235" s="874">
        <f t="shared" si="177"/>
        <v>49.992000000000189</v>
      </c>
      <c r="G235" s="879">
        <f t="shared" si="177"/>
        <v>31.822000000000031</v>
      </c>
      <c r="H235" s="879">
        <f t="shared" si="177"/>
        <v>57.117000000000075</v>
      </c>
      <c r="I235" s="879">
        <f t="shared" si="177"/>
        <v>57.120000000000061</v>
      </c>
      <c r="J235" s="879">
        <f t="shared" si="177"/>
        <v>82.287999999999101</v>
      </c>
      <c r="K235" s="874">
        <f t="shared" si="177"/>
        <v>228.34699999999998</v>
      </c>
      <c r="L235" s="879">
        <f t="shared" si="177"/>
        <v>97.594999999999914</v>
      </c>
      <c r="M235" s="879">
        <f t="shared" si="177"/>
        <v>129.59999999999997</v>
      </c>
      <c r="N235" s="879">
        <f t="shared" si="177"/>
        <v>110.40700000000004</v>
      </c>
      <c r="O235" s="879">
        <f t="shared" si="177"/>
        <v>65.045999999999708</v>
      </c>
      <c r="P235" s="874">
        <f t="shared" si="177"/>
        <v>402.64799999999968</v>
      </c>
      <c r="Q235" s="879">
        <f t="shared" si="177"/>
        <v>97.45599999999979</v>
      </c>
      <c r="R235" s="879">
        <f t="shared" si="177"/>
        <v>74.83499999999998</v>
      </c>
      <c r="S235" s="879">
        <f t="shared" si="177"/>
        <v>73.640999999999906</v>
      </c>
      <c r="T235" s="879">
        <f t="shared" si="177"/>
        <v>59.894000000000801</v>
      </c>
      <c r="U235" s="874">
        <f t="shared" si="177"/>
        <v>305.8260000000007</v>
      </c>
      <c r="V235" s="879">
        <f t="shared" si="177"/>
        <v>49.453000000000145</v>
      </c>
      <c r="W235" s="879">
        <f t="shared" si="177"/>
        <v>70.370000000000232</v>
      </c>
      <c r="X235" s="879">
        <f t="shared" si="177"/>
        <v>106.03600000000006</v>
      </c>
      <c r="Y235" s="879">
        <f t="shared" si="177"/>
        <v>153.93399999999929</v>
      </c>
      <c r="Z235" s="874">
        <f t="shared" si="177"/>
        <v>379.79299999999967</v>
      </c>
      <c r="AA235" s="879">
        <f t="shared" si="177"/>
        <v>256.94200000000023</v>
      </c>
      <c r="AB235" s="879">
        <f t="shared" si="177"/>
        <v>127.80700000000002</v>
      </c>
      <c r="AC235" s="879">
        <f t="shared" si="177"/>
        <v>208.62699999999984</v>
      </c>
      <c r="AD235" s="879">
        <f t="shared" si="177"/>
        <v>245.30299999999988</v>
      </c>
      <c r="AE235" s="874">
        <f t="shared" si="177"/>
        <v>838.67899999999963</v>
      </c>
      <c r="AF235" s="879">
        <f t="shared" si="177"/>
        <v>446.57800000000009</v>
      </c>
      <c r="AG235" s="879">
        <f t="shared" si="177"/>
        <v>462.21299999999997</v>
      </c>
      <c r="AH235" s="879">
        <f t="shared" si="177"/>
        <v>480.66799999999967</v>
      </c>
      <c r="AI235" s="879">
        <f t="shared" si="177"/>
        <v>215.76700000000005</v>
      </c>
      <c r="AJ235" s="874">
        <f t="shared" si="177"/>
        <v>1605.2259999999997</v>
      </c>
      <c r="AK235" s="879">
        <f t="shared" si="177"/>
        <v>459.08400000000029</v>
      </c>
      <c r="AL235" s="879">
        <f t="shared" si="177"/>
        <v>706.41899999999987</v>
      </c>
      <c r="AM235" s="879">
        <f t="shared" si="177"/>
        <v>980.23899999999981</v>
      </c>
      <c r="AN235" s="879">
        <f t="shared" si="177"/>
        <v>458.5120000000004</v>
      </c>
      <c r="AO235" s="874">
        <f t="shared" si="177"/>
        <v>2604.2540000000008</v>
      </c>
      <c r="AP235" s="879">
        <f t="shared" si="177"/>
        <v>958.25599999999986</v>
      </c>
      <c r="AQ235" s="879">
        <f t="shared" si="177"/>
        <v>1357.9280000000003</v>
      </c>
      <c r="AR235" s="879">
        <f t="shared" si="177"/>
        <v>1314.8629999999994</v>
      </c>
      <c r="AS235" s="879">
        <f t="shared" si="177"/>
        <v>954.24200000000337</v>
      </c>
      <c r="AT235" s="874">
        <f t="shared" si="177"/>
        <v>4585.2890000000007</v>
      </c>
      <c r="AU235" s="879">
        <f t="shared" si="177"/>
        <v>1959.8560000000002</v>
      </c>
      <c r="AV235" s="879">
        <f t="shared" si="177"/>
        <v>1847.6300000000003</v>
      </c>
      <c r="AW235" s="880">
        <f t="shared" si="177"/>
        <v>1755.2529999999997</v>
      </c>
      <c r="AX235" s="879">
        <f>AX214-AX220-AX225-AX230</f>
        <v>527.91090871649351</v>
      </c>
      <c r="AY235" s="874">
        <f>SUM(AU235,AV235,AW235,AX235)</f>
        <v>6090.6499087164939</v>
      </c>
      <c r="AZ235" s="879">
        <f>AZ214-AZ220-AZ225-AZ230</f>
        <v>2187.8489996205631</v>
      </c>
      <c r="BA235" s="879">
        <f>BA214-BA220-BA225-BA230</f>
        <v>2141.6928900291905</v>
      </c>
      <c r="BB235" s="879">
        <f>BB214-BB220-BB225-BB230</f>
        <v>2148.5093808575621</v>
      </c>
      <c r="BC235" s="879">
        <f>BC214-BC220-BC225-BC230</f>
        <v>1474.3751577222924</v>
      </c>
      <c r="BD235" s="874">
        <f>SUM(AZ235,BA235,BB235,BC235)</f>
        <v>7952.4264282296081</v>
      </c>
      <c r="BE235" s="874">
        <f>BE214-BE220-BE225-BE230</f>
        <v>10126.522661446814</v>
      </c>
      <c r="BF235" s="874">
        <f>BF214-BF220-BF225-BF230</f>
        <v>12581.408764724378</v>
      </c>
      <c r="BG235" s="874">
        <f>BG214-BG220-BG225-BG230</f>
        <v>16017.587861527161</v>
      </c>
      <c r="BH235" s="824"/>
    </row>
    <row r="236" spans="1:60" s="655" customFormat="1" x14ac:dyDescent="0.25">
      <c r="A236" s="757" t="s">
        <v>703</v>
      </c>
      <c r="B236" s="654"/>
      <c r="C236" s="796"/>
      <c r="D236" s="796">
        <f>D235/C235-1</f>
        <v>0.47776637369164132</v>
      </c>
      <c r="E236" s="796">
        <f>E235/D235-1</f>
        <v>0.32585909653399958</v>
      </c>
      <c r="F236" s="796">
        <f>F235/E235-1</f>
        <v>-0.86706659433932121</v>
      </c>
      <c r="G236" s="163"/>
      <c r="H236" s="163"/>
      <c r="I236" s="163"/>
      <c r="J236" s="163"/>
      <c r="K236" s="796">
        <f t="shared" ref="K236:BD236" si="178">K235/F235-1</f>
        <v>3.5676708273323552</v>
      </c>
      <c r="L236" s="163">
        <f t="shared" si="178"/>
        <v>2.0669034001634032</v>
      </c>
      <c r="M236" s="163">
        <f t="shared" si="178"/>
        <v>1.2690267345974018</v>
      </c>
      <c r="N236" s="163">
        <f t="shared" si="178"/>
        <v>0.9328956582633039</v>
      </c>
      <c r="O236" s="163">
        <f t="shared" si="178"/>
        <v>-0.20953237410071435</v>
      </c>
      <c r="P236" s="796">
        <f t="shared" si="178"/>
        <v>0.76331635624728911</v>
      </c>
      <c r="Q236" s="163">
        <f t="shared" si="178"/>
        <v>-1.4242532916658446E-3</v>
      </c>
      <c r="R236" s="163">
        <f t="shared" si="178"/>
        <v>-0.42256944444444444</v>
      </c>
      <c r="S236" s="163">
        <f t="shared" si="178"/>
        <v>-0.33300424791906424</v>
      </c>
      <c r="T236" s="163">
        <f t="shared" si="178"/>
        <v>-7.9205485348813554E-2</v>
      </c>
      <c r="U236" s="796">
        <f t="shared" si="178"/>
        <v>-0.24046313405256958</v>
      </c>
      <c r="V236" s="163">
        <f t="shared" si="178"/>
        <v>-0.49256074536200689</v>
      </c>
      <c r="W236" s="163">
        <f t="shared" si="178"/>
        <v>-5.9664595443305268E-2</v>
      </c>
      <c r="X236" s="163">
        <f t="shared" si="178"/>
        <v>0.43990440108092232</v>
      </c>
      <c r="Y236" s="163">
        <f t="shared" si="178"/>
        <v>1.5701071893678371</v>
      </c>
      <c r="Z236" s="796">
        <f t="shared" si="178"/>
        <v>0.24185975031553486</v>
      </c>
      <c r="AA236" s="163">
        <f t="shared" si="178"/>
        <v>4.1956807473762865</v>
      </c>
      <c r="AB236" s="163">
        <f t="shared" si="178"/>
        <v>0.81621429586470939</v>
      </c>
      <c r="AC236" s="163">
        <f t="shared" si="178"/>
        <v>0.96751103398845406</v>
      </c>
      <c r="AD236" s="163">
        <f t="shared" si="178"/>
        <v>0.59355957748126476</v>
      </c>
      <c r="AE236" s="796">
        <f t="shared" si="178"/>
        <v>1.2082529167204248</v>
      </c>
      <c r="AF236" s="163">
        <f t="shared" si="178"/>
        <v>0.73804983225786236</v>
      </c>
      <c r="AG236" s="163">
        <f t="shared" si="178"/>
        <v>2.6164920544258132</v>
      </c>
      <c r="AH236" s="163">
        <f t="shared" si="178"/>
        <v>1.303958739760434</v>
      </c>
      <c r="AI236" s="163">
        <f t="shared" si="178"/>
        <v>-0.12040619152639731</v>
      </c>
      <c r="AJ236" s="796">
        <f t="shared" si="178"/>
        <v>0.91399331567858555</v>
      </c>
      <c r="AK236" s="163">
        <f t="shared" si="178"/>
        <v>2.800406647886855E-2</v>
      </c>
      <c r="AL236" s="163">
        <f t="shared" si="178"/>
        <v>0.52834082987713438</v>
      </c>
      <c r="AM236" s="163">
        <f t="shared" si="178"/>
        <v>1.0393265205921769</v>
      </c>
      <c r="AN236" s="163">
        <f t="shared" si="178"/>
        <v>1.125033021731777</v>
      </c>
      <c r="AO236" s="796">
        <f t="shared" si="178"/>
        <v>0.62235971757247976</v>
      </c>
      <c r="AP236" s="163">
        <f t="shared" si="178"/>
        <v>1.0873217101881121</v>
      </c>
      <c r="AQ236" s="163">
        <f t="shared" si="178"/>
        <v>0.92226992762086035</v>
      </c>
      <c r="AR236" s="163">
        <f t="shared" si="178"/>
        <v>0.34136980879152912</v>
      </c>
      <c r="AS236" s="163">
        <f t="shared" si="178"/>
        <v>1.0811712670551752</v>
      </c>
      <c r="AT236" s="796">
        <f t="shared" si="178"/>
        <v>0.76069192943545416</v>
      </c>
      <c r="AU236" s="163">
        <f t="shared" si="178"/>
        <v>1.0452321717787321</v>
      </c>
      <c r="AV236" s="163">
        <f t="shared" si="178"/>
        <v>0.36062442191338562</v>
      </c>
      <c r="AW236" s="637">
        <f t="shared" si="178"/>
        <v>0.33493223248353665</v>
      </c>
      <c r="AX236" s="163">
        <f t="shared" si="178"/>
        <v>-0.44677460359479915</v>
      </c>
      <c r="AY236" s="796">
        <f t="shared" si="178"/>
        <v>0.32830229647825759</v>
      </c>
      <c r="AZ236" s="163">
        <f t="shared" si="178"/>
        <v>0.1163315057945904</v>
      </c>
      <c r="BA236" s="163">
        <f t="shared" si="178"/>
        <v>0.15915680630277174</v>
      </c>
      <c r="BB236" s="163">
        <f t="shared" si="178"/>
        <v>0.22404541160594071</v>
      </c>
      <c r="BC236" s="163">
        <f t="shared" si="178"/>
        <v>1.7928484397242928</v>
      </c>
      <c r="BD236" s="796">
        <f t="shared" si="178"/>
        <v>0.30567780900502517</v>
      </c>
      <c r="BE236" s="796">
        <f>BE235/BD235-1</f>
        <v>0.27338778331850722</v>
      </c>
      <c r="BF236" s="796">
        <f>BF235/BE235-1</f>
        <v>0.24242142987776871</v>
      </c>
      <c r="BG236" s="796">
        <f>BG235/BF235-1</f>
        <v>0.27311560740615204</v>
      </c>
      <c r="BH236" s="648"/>
    </row>
    <row r="237" spans="1:60" s="416" customFormat="1" x14ac:dyDescent="0.25">
      <c r="A237" s="758" t="s">
        <v>590</v>
      </c>
      <c r="B237" s="496"/>
      <c r="C237" s="325">
        <f t="shared" ref="C237:AH237" si="179">C235/C206</f>
        <v>0.11491502267000107</v>
      </c>
      <c r="D237" s="325">
        <f t="shared" si="179"/>
        <v>0.13115588694295124</v>
      </c>
      <c r="E237" s="325">
        <f t="shared" si="179"/>
        <v>0.11735339796796897</v>
      </c>
      <c r="F237" s="325">
        <f t="shared" si="179"/>
        <v>1.3850954289523564E-2</v>
      </c>
      <c r="G237" s="168">
        <f t="shared" si="179"/>
        <v>3.1077355485218706E-2</v>
      </c>
      <c r="H237" s="168">
        <f t="shared" si="179"/>
        <v>5.3411722020026774E-2</v>
      </c>
      <c r="I237" s="168">
        <f t="shared" si="179"/>
        <v>5.1645616316108839E-2</v>
      </c>
      <c r="J237" s="168">
        <f t="shared" si="179"/>
        <v>7.0018634650237957E-2</v>
      </c>
      <c r="K237" s="325">
        <f t="shared" si="179"/>
        <v>5.2198825848164911E-2</v>
      </c>
      <c r="L237" s="168">
        <f t="shared" si="179"/>
        <v>7.6841071767411506E-2</v>
      </c>
      <c r="M237" s="168">
        <f t="shared" si="179"/>
        <v>9.6687051022562531E-2</v>
      </c>
      <c r="N237" s="168">
        <f t="shared" si="179"/>
        <v>7.8334392861805352E-2</v>
      </c>
      <c r="O237" s="168">
        <f t="shared" si="179"/>
        <v>4.3810044668114105E-2</v>
      </c>
      <c r="P237" s="325">
        <f t="shared" si="179"/>
        <v>7.3146805177289859E-2</v>
      </c>
      <c r="Q237" s="168">
        <f t="shared" si="179"/>
        <v>6.1950418560715488E-2</v>
      </c>
      <c r="R237" s="168">
        <f t="shared" si="179"/>
        <v>4.5500865206536886E-2</v>
      </c>
      <c r="S237" s="168">
        <f t="shared" si="179"/>
        <v>4.2362463363352081E-2</v>
      </c>
      <c r="T237" s="168">
        <f t="shared" si="179"/>
        <v>3.2848634890061651E-2</v>
      </c>
      <c r="U237" s="325">
        <f t="shared" si="179"/>
        <v>4.5110333178897517E-2</v>
      </c>
      <c r="V237" s="168">
        <f t="shared" si="179"/>
        <v>2.526030067383965E-2</v>
      </c>
      <c r="W237" s="168">
        <f t="shared" si="179"/>
        <v>3.3426689289969155E-2</v>
      </c>
      <c r="X237" s="168">
        <f t="shared" si="179"/>
        <v>4.6300129072373124E-2</v>
      </c>
      <c r="Y237" s="168">
        <f t="shared" si="179"/>
        <v>6.2131766941495352E-2</v>
      </c>
      <c r="Z237" s="325">
        <f t="shared" si="179"/>
        <v>4.3008406271370793E-2</v>
      </c>
      <c r="AA237" s="168">
        <f t="shared" si="179"/>
        <v>9.7450727916454191E-2</v>
      </c>
      <c r="AB237" s="168">
        <f t="shared" si="179"/>
        <v>4.5883558358679209E-2</v>
      </c>
      <c r="AC237" s="168">
        <f t="shared" si="179"/>
        <v>6.9895093872105796E-2</v>
      </c>
      <c r="AD237" s="168">
        <f t="shared" si="179"/>
        <v>7.465650969107554E-2</v>
      </c>
      <c r="AE237" s="325">
        <f t="shared" si="179"/>
        <v>7.1726638633822587E-2</v>
      </c>
      <c r="AF237" s="168">
        <f t="shared" si="179"/>
        <v>0.12066883985758972</v>
      </c>
      <c r="AG237" s="168">
        <f t="shared" si="179"/>
        <v>0.11829563864283757</v>
      </c>
      <c r="AH237" s="168">
        <f t="shared" si="179"/>
        <v>0.12018580907912081</v>
      </c>
      <c r="AI237" s="168">
        <f t="shared" ref="AI237:BG237" si="180">AI235/AI206</f>
        <v>5.1534557916099524E-2</v>
      </c>
      <c r="AJ237" s="325">
        <f t="shared" si="180"/>
        <v>0.10163298361102877</v>
      </c>
      <c r="AK237" s="168">
        <f t="shared" si="180"/>
        <v>0.10154497066130624</v>
      </c>
      <c r="AL237" s="168">
        <f t="shared" si="180"/>
        <v>0.14349022042137538</v>
      </c>
      <c r="AM237" s="168">
        <f t="shared" si="180"/>
        <v>0.18689356623237216</v>
      </c>
      <c r="AN237" s="168">
        <f t="shared" si="180"/>
        <v>8.3862374927616931E-2</v>
      </c>
      <c r="AO237" s="325">
        <f t="shared" si="180"/>
        <v>0.12920203645017403</v>
      </c>
      <c r="AP237" s="168">
        <f t="shared" si="180"/>
        <v>0.1661420488718969</v>
      </c>
      <c r="AQ237" s="168">
        <f t="shared" si="180"/>
        <v>0.22086285511116438</v>
      </c>
      <c r="AR237" s="168">
        <f t="shared" si="180"/>
        <v>0.20430968993434517</v>
      </c>
      <c r="AS237" s="168">
        <f t="shared" si="180"/>
        <v>0.14361506955738393</v>
      </c>
      <c r="AT237" s="325">
        <f t="shared" si="180"/>
        <v>0.18344049957321271</v>
      </c>
      <c r="AU237" s="168">
        <f t="shared" si="180"/>
        <v>0.27359749343945977</v>
      </c>
      <c r="AV237" s="168">
        <f t="shared" si="180"/>
        <v>0.25165978209362672</v>
      </c>
      <c r="AW237" s="579">
        <f t="shared" si="180"/>
        <v>0.23455077706629826</v>
      </c>
      <c r="AX237" s="168">
        <f t="shared" si="180"/>
        <v>6.8352858810454567E-2</v>
      </c>
      <c r="AY237" s="325">
        <f t="shared" si="180"/>
        <v>0.20499063528394232</v>
      </c>
      <c r="AZ237" s="168">
        <f t="shared" si="180"/>
        <v>0.27355304428314348</v>
      </c>
      <c r="BA237" s="168">
        <f t="shared" si="180"/>
        <v>0.26032840350988928</v>
      </c>
      <c r="BB237" s="168">
        <f t="shared" si="180"/>
        <v>0.25383097013551925</v>
      </c>
      <c r="BC237" s="168">
        <f t="shared" si="180"/>
        <v>0.16914998773942691</v>
      </c>
      <c r="BD237" s="325">
        <f t="shared" si="180"/>
        <v>0.23805743804138813</v>
      </c>
      <c r="BE237" s="325">
        <f t="shared" si="180"/>
        <v>0.26860301988868329</v>
      </c>
      <c r="BF237" s="325">
        <f t="shared" si="180"/>
        <v>0.29317905887349149</v>
      </c>
      <c r="BG237" s="325">
        <f t="shared" si="180"/>
        <v>0.32715611625457508</v>
      </c>
      <c r="BH237" s="67"/>
    </row>
    <row r="238" spans="1:60" s="376" customFormat="1" x14ac:dyDescent="0.25">
      <c r="A238" s="766" t="s">
        <v>704</v>
      </c>
      <c r="B238" s="484"/>
      <c r="C238" s="803"/>
      <c r="D238" s="803">
        <f>(D237-C237)*10000</f>
        <v>162.40864272950171</v>
      </c>
      <c r="E238" s="803">
        <f>(E237-D237)*10000</f>
        <v>-138.02488974982276</v>
      </c>
      <c r="F238" s="803">
        <f>(F237-E237)*10000</f>
        <v>-1035.0244367844541</v>
      </c>
      <c r="G238" s="406"/>
      <c r="H238" s="406"/>
      <c r="I238" s="406"/>
      <c r="J238" s="406"/>
      <c r="K238" s="803">
        <f t="shared" ref="K238:BD238" si="181">(K237-F237)*10000</f>
        <v>383.47871558641344</v>
      </c>
      <c r="L238" s="406">
        <f t="shared" si="181"/>
        <v>457.63716282192797</v>
      </c>
      <c r="M238" s="406">
        <f t="shared" si="181"/>
        <v>432.75329002535756</v>
      </c>
      <c r="N238" s="406">
        <f t="shared" si="181"/>
        <v>266.88776545696516</v>
      </c>
      <c r="O238" s="406">
        <f t="shared" si="181"/>
        <v>-262.08589982123851</v>
      </c>
      <c r="P238" s="803">
        <f t="shared" si="181"/>
        <v>209.47979329124948</v>
      </c>
      <c r="Q238" s="406">
        <f t="shared" si="181"/>
        <v>-148.90653206696018</v>
      </c>
      <c r="R238" s="406">
        <f t="shared" si="181"/>
        <v>-511.86185816025647</v>
      </c>
      <c r="S238" s="406">
        <f t="shared" si="181"/>
        <v>-359.71929498453272</v>
      </c>
      <c r="T238" s="406">
        <f t="shared" si="181"/>
        <v>-109.61409778052455</v>
      </c>
      <c r="U238" s="803">
        <f t="shared" si="181"/>
        <v>-280.36471998392341</v>
      </c>
      <c r="V238" s="406">
        <f t="shared" si="181"/>
        <v>-366.90117886875839</v>
      </c>
      <c r="W238" s="406">
        <f t="shared" si="181"/>
        <v>-120.74175916567731</v>
      </c>
      <c r="X238" s="406">
        <f t="shared" si="181"/>
        <v>39.376657090210429</v>
      </c>
      <c r="Y238" s="406">
        <f t="shared" si="181"/>
        <v>292.83132051433699</v>
      </c>
      <c r="Z238" s="803">
        <f t="shared" si="181"/>
        <v>-21.019269075267243</v>
      </c>
      <c r="AA238" s="406">
        <f t="shared" si="181"/>
        <v>721.90427242614544</v>
      </c>
      <c r="AB238" s="406">
        <f t="shared" si="181"/>
        <v>124.56869068710054</v>
      </c>
      <c r="AC238" s="406">
        <f t="shared" si="181"/>
        <v>235.94964799732671</v>
      </c>
      <c r="AD238" s="406">
        <f t="shared" si="181"/>
        <v>125.24742749580189</v>
      </c>
      <c r="AE238" s="803">
        <f t="shared" si="181"/>
        <v>287.18232362451795</v>
      </c>
      <c r="AF238" s="406">
        <f t="shared" si="181"/>
        <v>232.1811194113553</v>
      </c>
      <c r="AG238" s="406">
        <f t="shared" si="181"/>
        <v>724.12080284158355</v>
      </c>
      <c r="AH238" s="406">
        <f t="shared" si="181"/>
        <v>502.90715207015018</v>
      </c>
      <c r="AI238" s="406">
        <f t="shared" si="181"/>
        <v>-231.21951774976014</v>
      </c>
      <c r="AJ238" s="803">
        <f t="shared" si="181"/>
        <v>299.0634497720618</v>
      </c>
      <c r="AK238" s="406">
        <f t="shared" si="181"/>
        <v>-191.23869196283476</v>
      </c>
      <c r="AL238" s="406">
        <f t="shared" si="181"/>
        <v>251.94581778537813</v>
      </c>
      <c r="AM238" s="406">
        <f t="shared" si="181"/>
        <v>667.0775715325135</v>
      </c>
      <c r="AN238" s="406">
        <f t="shared" si="181"/>
        <v>323.27817011517408</v>
      </c>
      <c r="AO238" s="803">
        <f t="shared" si="181"/>
        <v>275.69052839145263</v>
      </c>
      <c r="AP238" s="406">
        <f t="shared" si="181"/>
        <v>645.97078210590655</v>
      </c>
      <c r="AQ238" s="406">
        <f t="shared" si="181"/>
        <v>773.72634689789004</v>
      </c>
      <c r="AR238" s="406">
        <f t="shared" si="181"/>
        <v>174.16123701973012</v>
      </c>
      <c r="AS238" s="406">
        <f t="shared" si="181"/>
        <v>597.52694629766995</v>
      </c>
      <c r="AT238" s="803">
        <f t="shared" si="181"/>
        <v>542.38463123038673</v>
      </c>
      <c r="AU238" s="406">
        <f t="shared" si="181"/>
        <v>1074.5544456756286</v>
      </c>
      <c r="AV238" s="406">
        <f t="shared" si="181"/>
        <v>307.96926982462338</v>
      </c>
      <c r="AW238" s="572">
        <f t="shared" si="181"/>
        <v>302.41087131953088</v>
      </c>
      <c r="AX238" s="406">
        <f t="shared" si="181"/>
        <v>-752.62210746929361</v>
      </c>
      <c r="AY238" s="803">
        <f t="shared" si="181"/>
        <v>215.50135710729612</v>
      </c>
      <c r="AZ238" s="406">
        <f t="shared" si="181"/>
        <v>-0.44449156316295202</v>
      </c>
      <c r="BA238" s="406">
        <f t="shared" si="181"/>
        <v>86.686214162625674</v>
      </c>
      <c r="BB238" s="406">
        <f t="shared" si="181"/>
        <v>192.80193069220991</v>
      </c>
      <c r="BC238" s="406">
        <f t="shared" si="181"/>
        <v>1007.9712892897235</v>
      </c>
      <c r="BD238" s="803">
        <f t="shared" si="181"/>
        <v>330.66802757445805</v>
      </c>
      <c r="BE238" s="803">
        <f>(BE237-BD237)*10000</f>
        <v>305.45581847295165</v>
      </c>
      <c r="BF238" s="803">
        <f>(BF237-BE237)*10000</f>
        <v>245.76038984808201</v>
      </c>
      <c r="BG238" s="803">
        <f>(BG237-BF237)*10000</f>
        <v>339.77057381083586</v>
      </c>
      <c r="BH238" s="280"/>
    </row>
    <row r="239" spans="1:60" s="376" customFormat="1" x14ac:dyDescent="0.25">
      <c r="A239" s="682"/>
      <c r="B239" s="484"/>
      <c r="C239" s="803"/>
      <c r="D239" s="803"/>
      <c r="E239" s="803"/>
      <c r="F239" s="803"/>
      <c r="G239" s="406"/>
      <c r="H239" s="406"/>
      <c r="I239" s="406"/>
      <c r="J239" s="406"/>
      <c r="K239" s="803"/>
      <c r="L239" s="406"/>
      <c r="M239" s="406"/>
      <c r="N239" s="406"/>
      <c r="O239" s="406"/>
      <c r="P239" s="803"/>
      <c r="Q239" s="406"/>
      <c r="R239" s="406"/>
      <c r="S239" s="406"/>
      <c r="T239" s="406"/>
      <c r="U239" s="803"/>
      <c r="V239" s="406"/>
      <c r="W239" s="406"/>
      <c r="X239" s="406"/>
      <c r="Y239" s="406"/>
      <c r="Z239" s="803"/>
      <c r="AA239" s="406"/>
      <c r="AB239" s="406"/>
      <c r="AC239" s="406"/>
      <c r="AD239" s="406"/>
      <c r="AE239" s="803"/>
      <c r="AF239" s="406"/>
      <c r="AG239" s="406"/>
      <c r="AH239" s="406"/>
      <c r="AI239" s="406"/>
      <c r="AJ239" s="803"/>
      <c r="AK239" s="406"/>
      <c r="AL239" s="406"/>
      <c r="AM239" s="406"/>
      <c r="AN239" s="406"/>
      <c r="AO239" s="803"/>
      <c r="AP239" s="406"/>
      <c r="AQ239" s="406"/>
      <c r="AR239" s="406"/>
      <c r="AS239" s="406"/>
      <c r="AT239" s="803"/>
      <c r="AU239" s="406"/>
      <c r="AV239" s="406"/>
      <c r="AW239" s="572"/>
      <c r="AX239" s="406"/>
      <c r="AY239" s="803"/>
      <c r="AZ239" s="406"/>
      <c r="BA239" s="406"/>
      <c r="BB239" s="406"/>
      <c r="BC239" s="406"/>
      <c r="BD239" s="803"/>
      <c r="BE239" s="803"/>
      <c r="BF239" s="803"/>
      <c r="BG239" s="803"/>
      <c r="BH239" s="280"/>
    </row>
    <row r="240" spans="1:60" customFormat="1" x14ac:dyDescent="0.25">
      <c r="A240" s="819" t="s">
        <v>764</v>
      </c>
      <c r="B240" s="819"/>
      <c r="C240" s="861"/>
      <c r="D240" s="861"/>
      <c r="E240" s="861"/>
      <c r="F240" s="861"/>
      <c r="G240" s="861"/>
      <c r="H240" s="861"/>
      <c r="I240" s="861"/>
      <c r="J240" s="861"/>
      <c r="K240" s="861"/>
      <c r="L240" s="861"/>
      <c r="M240" s="861"/>
      <c r="N240" s="861"/>
      <c r="O240" s="861"/>
      <c r="P240" s="861"/>
      <c r="Q240" s="861"/>
      <c r="R240" s="861"/>
      <c r="S240" s="861"/>
      <c r="T240" s="861"/>
      <c r="U240" s="861"/>
      <c r="V240" s="861"/>
      <c r="W240" s="861"/>
      <c r="X240" s="861"/>
      <c r="Y240" s="861"/>
      <c r="Z240" s="861"/>
      <c r="AA240" s="861"/>
      <c r="AB240" s="861"/>
      <c r="AC240" s="861"/>
      <c r="AD240" s="861"/>
      <c r="AE240" s="861"/>
      <c r="AF240" s="861"/>
      <c r="AG240" s="861"/>
      <c r="AH240" s="861"/>
      <c r="AI240" s="861"/>
      <c r="AJ240" s="861"/>
      <c r="AK240" s="884" t="s">
        <v>705</v>
      </c>
      <c r="AL240" s="884" t="s">
        <v>705</v>
      </c>
      <c r="AM240" s="884" t="s">
        <v>705</v>
      </c>
      <c r="AN240" s="861"/>
      <c r="AO240" s="861"/>
      <c r="AP240" s="861"/>
      <c r="AQ240" s="861"/>
      <c r="AR240" s="861"/>
      <c r="AS240" s="861"/>
      <c r="AT240" s="861"/>
      <c r="AU240" s="861"/>
      <c r="AV240" s="861"/>
      <c r="AW240" s="862"/>
      <c r="AX240" s="861"/>
      <c r="AY240" s="861"/>
      <c r="AZ240" s="861"/>
      <c r="BA240" s="861"/>
      <c r="BB240" s="861"/>
      <c r="BC240" s="861"/>
      <c r="BD240" s="861"/>
      <c r="BE240" s="861"/>
      <c r="BF240" s="861"/>
      <c r="BG240" s="861"/>
      <c r="BH240" s="824"/>
    </row>
    <row r="241" spans="1:60" customFormat="1" hidden="1" outlineLevel="1" x14ac:dyDescent="0.25">
      <c r="A241" s="63" t="s">
        <v>762</v>
      </c>
      <c r="B241" s="493"/>
      <c r="C241" s="874"/>
      <c r="D241" s="875">
        <f t="shared" ref="D241:J241" si="182">C245</f>
        <v>146.13900000000001</v>
      </c>
      <c r="E241" s="875">
        <f t="shared" si="182"/>
        <v>361.97900000000004</v>
      </c>
      <c r="F241" s="875">
        <f t="shared" si="182"/>
        <v>1966.643</v>
      </c>
      <c r="G241" s="876">
        <f t="shared" si="182"/>
        <v>2874.17</v>
      </c>
      <c r="H241" s="876">
        <f t="shared" si="182"/>
        <v>2968.1790000000001</v>
      </c>
      <c r="I241" s="876">
        <f t="shared" si="182"/>
        <v>3045.8109999999997</v>
      </c>
      <c r="J241" s="876">
        <f t="shared" si="182"/>
        <v>3385.9009999999998</v>
      </c>
      <c r="K241" s="875">
        <f>F245</f>
        <v>2874.17</v>
      </c>
      <c r="L241" s="876">
        <f>K245</f>
        <v>3797.4920000000002</v>
      </c>
      <c r="M241" s="876">
        <f>L245</f>
        <v>3950.884</v>
      </c>
      <c r="N241" s="876">
        <f>M245</f>
        <v>4135.1369999999997</v>
      </c>
      <c r="O241" s="876">
        <f>N245</f>
        <v>4638.8630000000003</v>
      </c>
      <c r="P241" s="875">
        <f>K245</f>
        <v>3797.4920000000002</v>
      </c>
      <c r="Q241" s="876">
        <f>P245</f>
        <v>4899.0280000000002</v>
      </c>
      <c r="R241" s="876">
        <f>Q245</f>
        <v>5682.8</v>
      </c>
      <c r="S241" s="876">
        <f>R245</f>
        <v>6151.7129999999997</v>
      </c>
      <c r="T241" s="876">
        <f>S245</f>
        <v>6586.9740000000002</v>
      </c>
      <c r="U241" s="875">
        <f>P245</f>
        <v>4899.0280000000002</v>
      </c>
      <c r="V241" s="876">
        <f>U245</f>
        <v>7218.8150000000005</v>
      </c>
      <c r="W241" s="876">
        <f>V245</f>
        <v>8518.8009999999995</v>
      </c>
      <c r="X241" s="876">
        <f>W245</f>
        <v>9092.2000000000007</v>
      </c>
      <c r="Y241" s="876">
        <f>X245</f>
        <v>10310.073</v>
      </c>
      <c r="Z241" s="875">
        <f>U245</f>
        <v>7218.8150000000005</v>
      </c>
      <c r="AA241" s="876">
        <f>Z245</f>
        <v>11000.808000000001</v>
      </c>
      <c r="AB241" s="876">
        <f>AA245</f>
        <v>12055.726999999999</v>
      </c>
      <c r="AC241" s="876">
        <f>AB245</f>
        <v>13227.584999999999</v>
      </c>
      <c r="AD241" s="876">
        <f>AC245</f>
        <v>13963.091</v>
      </c>
      <c r="AE241" s="875">
        <f>Z245</f>
        <v>11000.808000000001</v>
      </c>
      <c r="AF241" s="876">
        <f>AE245</f>
        <v>14681.989000000001</v>
      </c>
      <c r="AG241" s="876">
        <f>AF245</f>
        <v>15941.325000000001</v>
      </c>
      <c r="AH241" s="876">
        <f>AG245</f>
        <v>17095.733</v>
      </c>
      <c r="AI241" s="876">
        <f>AH245</f>
        <v>18396.359</v>
      </c>
      <c r="AJ241" s="875">
        <f>AE245</f>
        <v>14681.989000000001</v>
      </c>
      <c r="AK241" s="876">
        <f>AJ245</f>
        <v>20112.14</v>
      </c>
      <c r="AL241" s="876">
        <f>AK245</f>
        <v>20888.785</v>
      </c>
      <c r="AM241" s="876">
        <f>AL245</f>
        <v>21945.74</v>
      </c>
      <c r="AN241" s="876">
        <f>AM245</f>
        <v>23234.993999999999</v>
      </c>
      <c r="AO241" s="875">
        <f>AJ245</f>
        <v>20112.14</v>
      </c>
      <c r="AP241" s="876">
        <f>AO245</f>
        <v>24504.567000000003</v>
      </c>
      <c r="AQ241" s="876">
        <f>AP245</f>
        <v>25266.888999999999</v>
      </c>
      <c r="AR241" s="876">
        <f>AQ245</f>
        <v>25155.116999999998</v>
      </c>
      <c r="AS241" s="876">
        <f>AR245</f>
        <v>25067.633000000002</v>
      </c>
      <c r="AT241" s="875">
        <f>AO245</f>
        <v>24504.567000000003</v>
      </c>
      <c r="AU241" s="876">
        <f>AT245</f>
        <v>25383.949999999997</v>
      </c>
      <c r="AV241" s="876">
        <f>AU245</f>
        <v>26043.990999999998</v>
      </c>
      <c r="AW241" s="877">
        <f>AV245</f>
        <v>27291.64</v>
      </c>
      <c r="AX241" s="879">
        <f>AW245</f>
        <v>28974.044999999998</v>
      </c>
      <c r="AY241" s="874">
        <f>AT245</f>
        <v>25383.949999999997</v>
      </c>
      <c r="AZ241" s="879">
        <f>AY245</f>
        <v>29473.515694520549</v>
      </c>
      <c r="BA241" s="879">
        <f>AZ245</f>
        <v>30345.166980060429</v>
      </c>
      <c r="BB241" s="879">
        <f>BA245</f>
        <v>31164.346853983967</v>
      </c>
      <c r="BC241" s="879">
        <f>BB245</f>
        <v>31861.851810373169</v>
      </c>
      <c r="BD241" s="874">
        <f>AY245</f>
        <v>29473.515694520549</v>
      </c>
      <c r="BE241" s="874">
        <f>BD245</f>
        <v>32485.516790009282</v>
      </c>
      <c r="BF241" s="874">
        <f>BE245</f>
        <v>34828.335298205384</v>
      </c>
      <c r="BG241" s="874">
        <f>BF245</f>
        <v>36187.170032959126</v>
      </c>
      <c r="BH241" s="824"/>
    </row>
    <row r="242" spans="1:60" customFormat="1" hidden="1" outlineLevel="1" x14ac:dyDescent="0.25">
      <c r="A242" s="178" t="s">
        <v>30</v>
      </c>
      <c r="B242" s="442"/>
      <c r="C242" s="864">
        <f t="shared" ref="C242:AQ242" si="183">-C556</f>
        <v>64.216999999999999</v>
      </c>
      <c r="D242" s="864">
        <f t="shared" si="183"/>
        <v>406.21</v>
      </c>
      <c r="E242" s="864">
        <f t="shared" si="183"/>
        <v>2320.732</v>
      </c>
      <c r="F242" s="864">
        <f t="shared" si="183"/>
        <v>2515.5059999999999</v>
      </c>
      <c r="G242" s="867">
        <f t="shared" si="183"/>
        <v>591.94100000000003</v>
      </c>
      <c r="H242" s="867">
        <f t="shared" si="183"/>
        <v>593.45399999999995</v>
      </c>
      <c r="I242" s="867">
        <f t="shared" si="183"/>
        <v>878.31399999999985</v>
      </c>
      <c r="J242" s="867">
        <f t="shared" si="183"/>
        <v>986.04899999999998</v>
      </c>
      <c r="K242" s="864">
        <f t="shared" si="183"/>
        <v>3049.7579999999998</v>
      </c>
      <c r="L242" s="867">
        <f t="shared" si="183"/>
        <v>749.399</v>
      </c>
      <c r="M242" s="867">
        <f t="shared" si="183"/>
        <v>813.31399999999996</v>
      </c>
      <c r="N242" s="867">
        <f t="shared" si="183"/>
        <v>1202.4840000000002</v>
      </c>
      <c r="O242" s="867">
        <f t="shared" si="183"/>
        <v>1008.2619999999997</v>
      </c>
      <c r="P242" s="864">
        <f t="shared" si="183"/>
        <v>3773.4589999999998</v>
      </c>
      <c r="Q242" s="867">
        <f t="shared" si="183"/>
        <v>1611.925</v>
      </c>
      <c r="R242" s="867">
        <f t="shared" si="183"/>
        <v>1273.6769999999999</v>
      </c>
      <c r="S242" s="867">
        <f t="shared" si="183"/>
        <v>1308.9430000000002</v>
      </c>
      <c r="T242" s="867">
        <f t="shared" si="183"/>
        <v>1577.107</v>
      </c>
      <c r="U242" s="864">
        <f t="shared" si="183"/>
        <v>5771.652</v>
      </c>
      <c r="V242" s="867">
        <f t="shared" si="183"/>
        <v>2316.5990000000002</v>
      </c>
      <c r="W242" s="867">
        <f t="shared" si="183"/>
        <v>1791.7659999999996</v>
      </c>
      <c r="X242" s="867">
        <f t="shared" si="183"/>
        <v>2442.08</v>
      </c>
      <c r="Y242" s="867">
        <f t="shared" si="183"/>
        <v>2102.8410000000003</v>
      </c>
      <c r="Z242" s="864">
        <f t="shared" si="183"/>
        <v>8653.2860000000001</v>
      </c>
      <c r="AA242" s="867">
        <f t="shared" si="183"/>
        <v>2348.6660000000002</v>
      </c>
      <c r="AB242" s="867">
        <f t="shared" si="183"/>
        <v>2664.4210000000003</v>
      </c>
      <c r="AC242" s="867">
        <f t="shared" si="183"/>
        <v>2315.0169999999998</v>
      </c>
      <c r="AD242" s="867">
        <f t="shared" si="183"/>
        <v>2477.6590000000006</v>
      </c>
      <c r="AE242" s="864">
        <f t="shared" si="183"/>
        <v>9805.7630000000008</v>
      </c>
      <c r="AF242" s="867">
        <f t="shared" si="183"/>
        <v>2986.7469999999998</v>
      </c>
      <c r="AG242" s="867">
        <f t="shared" si="183"/>
        <v>3033.721</v>
      </c>
      <c r="AH242" s="867">
        <f t="shared" si="183"/>
        <v>3238.7169999999996</v>
      </c>
      <c r="AI242" s="867">
        <f t="shared" si="183"/>
        <v>3784.2520000000004</v>
      </c>
      <c r="AJ242" s="864">
        <f t="shared" si="183"/>
        <v>13043.437</v>
      </c>
      <c r="AK242" s="867">
        <f t="shared" si="183"/>
        <v>2997.7460000000001</v>
      </c>
      <c r="AL242" s="867">
        <f t="shared" si="183"/>
        <v>3325.1030000000001</v>
      </c>
      <c r="AM242" s="867">
        <f t="shared" si="183"/>
        <v>3648.2919999999995</v>
      </c>
      <c r="AN242" s="867">
        <f t="shared" si="183"/>
        <v>3945.5420000000013</v>
      </c>
      <c r="AO242" s="864">
        <f t="shared" si="183"/>
        <v>13916.683000000001</v>
      </c>
      <c r="AP242" s="867">
        <f t="shared" si="183"/>
        <v>3294.2750000000001</v>
      </c>
      <c r="AQ242" s="867">
        <f t="shared" si="183"/>
        <v>2510.7819999999997</v>
      </c>
      <c r="AR242" s="867">
        <f>-AR556</f>
        <v>2653.8859999999995</v>
      </c>
      <c r="AS242" s="867">
        <f>-AS556</f>
        <v>3320.3410000000003</v>
      </c>
      <c r="AT242" s="864">
        <f>-AT556</f>
        <v>11779.284</v>
      </c>
      <c r="AU242" s="867">
        <f t="shared" ref="AU242" si="184">-AU556</f>
        <v>3284.576</v>
      </c>
      <c r="AV242" s="867">
        <f>-AV556</f>
        <v>4096.75</v>
      </c>
      <c r="AW242" s="868">
        <f>-AW556</f>
        <v>4666.2370000000001</v>
      </c>
      <c r="AX242" s="867">
        <f>AX635</f>
        <v>4000</v>
      </c>
      <c r="AY242" s="864">
        <f>SUM(AU242,AV242,AW242,AX242)</f>
        <v>16047.563</v>
      </c>
      <c r="AZ242" s="867">
        <f>AZ635</f>
        <v>4000</v>
      </c>
      <c r="BA242" s="867">
        <f>BA635</f>
        <v>4000</v>
      </c>
      <c r="BB242" s="867">
        <f>BB635</f>
        <v>4000</v>
      </c>
      <c r="BC242" s="867">
        <f>BC635</f>
        <v>4000</v>
      </c>
      <c r="BD242" s="864">
        <f>SUM(AZ242,BA242,BB242,BC242)</f>
        <v>16000</v>
      </c>
      <c r="BE242" s="864">
        <f>BE635</f>
        <v>16000</v>
      </c>
      <c r="BF242" s="864">
        <f>BF635</f>
        <v>16000</v>
      </c>
      <c r="BG242" s="864">
        <f>BG635</f>
        <v>16000</v>
      </c>
      <c r="BH242" s="821"/>
    </row>
    <row r="243" spans="1:60" customFormat="1" hidden="1" outlineLevel="1" x14ac:dyDescent="0.25">
      <c r="A243" s="367" t="s">
        <v>31</v>
      </c>
      <c r="B243" s="442"/>
      <c r="C243" s="865">
        <f>-C558-C559</f>
        <v>-219.49</v>
      </c>
      <c r="D243" s="865">
        <f t="shared" ref="D243:AW243" si="185">-D558-D559</f>
        <v>-300.596</v>
      </c>
      <c r="E243" s="865">
        <f t="shared" si="185"/>
        <v>-795.87200000000007</v>
      </c>
      <c r="F243" s="865">
        <f t="shared" si="185"/>
        <v>-1656.614</v>
      </c>
      <c r="G243" s="866">
        <f t="shared" si="185"/>
        <v>-503.97700000000003</v>
      </c>
      <c r="H243" s="866">
        <f t="shared" si="185"/>
        <v>-527.95899999999995</v>
      </c>
      <c r="I243" s="866">
        <f t="shared" si="185"/>
        <v>-570.94000000000005</v>
      </c>
      <c r="J243" s="866">
        <f t="shared" si="185"/>
        <v>-590.43000000000018</v>
      </c>
      <c r="K243" s="865">
        <f t="shared" si="185"/>
        <v>-2193.306</v>
      </c>
      <c r="L243" s="866">
        <f t="shared" si="185"/>
        <v>-616.85599999999999</v>
      </c>
      <c r="M243" s="866">
        <f t="shared" si="185"/>
        <v>-655.95999999999992</v>
      </c>
      <c r="N243" s="866">
        <f t="shared" si="185"/>
        <v>-704.423</v>
      </c>
      <c r="O243" s="866">
        <f t="shared" si="185"/>
        <v>-750.53100000000006</v>
      </c>
      <c r="P243" s="865">
        <f t="shared" si="185"/>
        <v>-2727.77</v>
      </c>
      <c r="Q243" s="866">
        <f t="shared" si="185"/>
        <v>-770.70299999999997</v>
      </c>
      <c r="R243" s="866">
        <f t="shared" si="185"/>
        <v>-843.4129999999999</v>
      </c>
      <c r="S243" s="866">
        <f t="shared" si="185"/>
        <v>-889.9920000000003</v>
      </c>
      <c r="T243" s="866">
        <f t="shared" si="185"/>
        <v>-980.65399999999988</v>
      </c>
      <c r="U243" s="865">
        <f t="shared" si="185"/>
        <v>-3484.7620000000002</v>
      </c>
      <c r="V243" s="866">
        <f t="shared" si="185"/>
        <v>-1078.962</v>
      </c>
      <c r="W243" s="866">
        <f t="shared" si="185"/>
        <v>-1195.3820000000001</v>
      </c>
      <c r="X243" s="866">
        <f t="shared" si="185"/>
        <v>-1243.3919999999998</v>
      </c>
      <c r="Y243" s="866">
        <f t="shared" si="185"/>
        <v>-1349.7139999999997</v>
      </c>
      <c r="Z243" s="865">
        <f t="shared" si="185"/>
        <v>-4867.45</v>
      </c>
      <c r="AA243" s="866">
        <f t="shared" si="185"/>
        <v>-1324.2809999999999</v>
      </c>
      <c r="AB243" s="866">
        <f t="shared" si="185"/>
        <v>-1567.3049999999998</v>
      </c>
      <c r="AC243" s="866">
        <f t="shared" si="185"/>
        <v>-1640.7359999999999</v>
      </c>
      <c r="AD243" s="866">
        <f t="shared" si="185"/>
        <v>-1726.1520000000003</v>
      </c>
      <c r="AE243" s="865">
        <f t="shared" si="185"/>
        <v>-6258.4740000000002</v>
      </c>
      <c r="AF243" s="866">
        <f t="shared" si="185"/>
        <v>-1759.9780000000001</v>
      </c>
      <c r="AG243" s="866">
        <f t="shared" si="185"/>
        <v>-1828.971</v>
      </c>
      <c r="AH243" s="866">
        <f t="shared" si="185"/>
        <v>-1921.7259999999999</v>
      </c>
      <c r="AI243" s="866">
        <f t="shared" si="185"/>
        <v>-2062.625</v>
      </c>
      <c r="AJ243" s="865">
        <f t="shared" si="185"/>
        <v>-7573.3</v>
      </c>
      <c r="AK243" s="866">
        <f t="shared" si="185"/>
        <v>-2124.6860000000001</v>
      </c>
      <c r="AL243" s="866">
        <f t="shared" si="185"/>
        <v>-2231.9149999999995</v>
      </c>
      <c r="AM243" s="866">
        <f t="shared" si="185"/>
        <v>-2279.9770000000008</v>
      </c>
      <c r="AN243" s="866">
        <f t="shared" si="185"/>
        <v>-2579.668999999999</v>
      </c>
      <c r="AO243" s="865">
        <f t="shared" si="185"/>
        <v>-9216.2469999999994</v>
      </c>
      <c r="AP243" s="866">
        <f t="shared" si="185"/>
        <v>-2483.3850000000002</v>
      </c>
      <c r="AQ243" s="866">
        <f t="shared" si="185"/>
        <v>-2607.1589999999997</v>
      </c>
      <c r="AR243" s="866">
        <f t="shared" si="185"/>
        <v>-2733.7430000000004</v>
      </c>
      <c r="AS243" s="866">
        <f t="shared" si="185"/>
        <v>-2982.625</v>
      </c>
      <c r="AT243" s="865">
        <f t="shared" si="185"/>
        <v>-10806.912</v>
      </c>
      <c r="AU243" s="866">
        <f t="shared" si="185"/>
        <v>-2719.1959999999999</v>
      </c>
      <c r="AV243" s="866">
        <f t="shared" si="185"/>
        <v>-2806.8029999999999</v>
      </c>
      <c r="AW243" s="878">
        <f t="shared" si="185"/>
        <v>-2963.0509999999995</v>
      </c>
      <c r="AX243" s="867">
        <f>AX634</f>
        <v>-3468.9473054794516</v>
      </c>
      <c r="AY243" s="864">
        <f>SUM(AU243,AV243,AW243,AX243)</f>
        <v>-11957.99730547945</v>
      </c>
      <c r="AZ243" s="867">
        <f>AZ634</f>
        <v>-3128.3487144601236</v>
      </c>
      <c r="BA243" s="867">
        <f>BA634</f>
        <v>-3180.8201260764636</v>
      </c>
      <c r="BB243" s="867">
        <f>BB634</f>
        <v>-3302.4950436107956</v>
      </c>
      <c r="BC243" s="867">
        <f>BC634</f>
        <v>-3376.3350203638879</v>
      </c>
      <c r="BD243" s="864">
        <f>SUM(AZ243,BA243,BB243,BC243)</f>
        <v>-12987.998904511271</v>
      </c>
      <c r="BE243" s="864">
        <f>BE634</f>
        <v>-13657.181491803896</v>
      </c>
      <c r="BF243" s="864">
        <f>BF634</f>
        <v>-14641.165265246258</v>
      </c>
      <c r="BG243" s="864">
        <f>BG634</f>
        <v>-15211.87585384283</v>
      </c>
      <c r="BH243" s="821"/>
    </row>
    <row r="244" spans="1:60" customFormat="1" hidden="1" outlineLevel="1" x14ac:dyDescent="0.25">
      <c r="A244" s="334" t="s">
        <v>32</v>
      </c>
      <c r="B244" s="335"/>
      <c r="C244" s="881"/>
      <c r="D244" s="881">
        <f t="shared" ref="D244:AW244" si="186">SUM(D668,D654)-SUM(D241:D243)</f>
        <v>110.22600000000011</v>
      </c>
      <c r="E244" s="881">
        <f t="shared" si="186"/>
        <v>79.80399999999986</v>
      </c>
      <c r="F244" s="881">
        <f t="shared" si="186"/>
        <v>48.635000000000673</v>
      </c>
      <c r="G244" s="882">
        <f t="shared" si="186"/>
        <v>6.0450000000000728</v>
      </c>
      <c r="H244" s="882">
        <f t="shared" si="186"/>
        <v>12.136999999999716</v>
      </c>
      <c r="I244" s="882">
        <f t="shared" si="186"/>
        <v>32.716000000000349</v>
      </c>
      <c r="J244" s="882">
        <f t="shared" si="186"/>
        <v>15.972000000000662</v>
      </c>
      <c r="K244" s="881">
        <f t="shared" si="186"/>
        <v>66.870000000000346</v>
      </c>
      <c r="L244" s="882">
        <f t="shared" si="186"/>
        <v>20.848999999999251</v>
      </c>
      <c r="M244" s="882">
        <f t="shared" si="186"/>
        <v>26.898999999999432</v>
      </c>
      <c r="N244" s="882">
        <f t="shared" si="186"/>
        <v>5.6649999999999636</v>
      </c>
      <c r="O244" s="882">
        <f t="shared" si="186"/>
        <v>2.4340000000001965</v>
      </c>
      <c r="P244" s="881">
        <f t="shared" si="186"/>
        <v>55.846999999999753</v>
      </c>
      <c r="Q244" s="882">
        <f t="shared" si="186"/>
        <v>-57.449999999999818</v>
      </c>
      <c r="R244" s="882">
        <f t="shared" si="186"/>
        <v>38.648999999999432</v>
      </c>
      <c r="S244" s="882">
        <f t="shared" si="186"/>
        <v>16.3100000000004</v>
      </c>
      <c r="T244" s="882">
        <f t="shared" si="186"/>
        <v>35.38799999999992</v>
      </c>
      <c r="U244" s="881">
        <f t="shared" si="186"/>
        <v>32.897000000000844</v>
      </c>
      <c r="V244" s="882">
        <f t="shared" si="186"/>
        <v>62.348999999998341</v>
      </c>
      <c r="W244" s="882">
        <f t="shared" si="186"/>
        <v>-22.984999999998763</v>
      </c>
      <c r="X244" s="882">
        <f t="shared" si="186"/>
        <v>19.184999999999491</v>
      </c>
      <c r="Y244" s="885">
        <f t="shared" si="186"/>
        <v>-62.391999999999825</v>
      </c>
      <c r="Z244" s="886">
        <f t="shared" si="186"/>
        <v>-3.8430000000007567</v>
      </c>
      <c r="AA244" s="885">
        <f t="shared" si="186"/>
        <v>30.533999999996013</v>
      </c>
      <c r="AB244" s="882">
        <f t="shared" si="186"/>
        <v>74.742000000000189</v>
      </c>
      <c r="AC244" s="882">
        <f t="shared" si="186"/>
        <v>61.225000000002183</v>
      </c>
      <c r="AD244" s="885">
        <f t="shared" si="186"/>
        <v>-32.608999999998559</v>
      </c>
      <c r="AE244" s="886">
        <f t="shared" si="186"/>
        <v>133.89199999999801</v>
      </c>
      <c r="AF244" s="885">
        <f t="shared" si="186"/>
        <v>32.566999999999098</v>
      </c>
      <c r="AG244" s="882">
        <f t="shared" si="186"/>
        <v>-50.342000000000553</v>
      </c>
      <c r="AH244" s="882">
        <f t="shared" si="186"/>
        <v>-16.365000000001601</v>
      </c>
      <c r="AI244" s="885">
        <f t="shared" si="186"/>
        <v>-5.8460000000013679</v>
      </c>
      <c r="AJ244" s="886">
        <f t="shared" si="186"/>
        <v>-39.986000000000786</v>
      </c>
      <c r="AK244" s="885">
        <f t="shared" si="186"/>
        <v>-96.414999999997235</v>
      </c>
      <c r="AL244" s="882">
        <f t="shared" si="186"/>
        <v>-36.232999999996537</v>
      </c>
      <c r="AM244" s="882">
        <f t="shared" si="186"/>
        <v>-79.061000000001513</v>
      </c>
      <c r="AN244" s="885">
        <f t="shared" si="186"/>
        <v>-96.299999999999272</v>
      </c>
      <c r="AO244" s="886">
        <f t="shared" si="186"/>
        <v>-308.00900000000183</v>
      </c>
      <c r="AP244" s="885">
        <f t="shared" si="186"/>
        <v>-48.568000000002939</v>
      </c>
      <c r="AQ244" s="882">
        <f t="shared" si="186"/>
        <v>-15.395000000000437</v>
      </c>
      <c r="AR244" s="882">
        <f t="shared" si="186"/>
        <v>-7.6269999999931315</v>
      </c>
      <c r="AS244" s="885">
        <f t="shared" si="186"/>
        <v>-21.399000000004889</v>
      </c>
      <c r="AT244" s="886">
        <f t="shared" si="186"/>
        <v>-92.989000000005035</v>
      </c>
      <c r="AU244" s="885">
        <f t="shared" si="186"/>
        <v>94.661000000000058</v>
      </c>
      <c r="AV244" s="882">
        <f t="shared" si="186"/>
        <v>-42.297999999998865</v>
      </c>
      <c r="AW244" s="883">
        <f t="shared" si="186"/>
        <v>-20.781000000002678</v>
      </c>
      <c r="AX244" s="882"/>
      <c r="AY244" s="881"/>
      <c r="AZ244" s="882"/>
      <c r="BA244" s="882"/>
      <c r="BB244" s="882"/>
      <c r="BC244" s="882"/>
      <c r="BD244" s="881"/>
      <c r="BE244" s="881"/>
      <c r="BF244" s="881"/>
      <c r="BG244" s="881"/>
      <c r="BH244" s="821"/>
    </row>
    <row r="245" spans="1:60" customFormat="1" hidden="1" outlineLevel="1" x14ac:dyDescent="0.25">
      <c r="A245" s="61" t="s">
        <v>763</v>
      </c>
      <c r="B245" s="492"/>
      <c r="C245" s="872">
        <f t="shared" ref="C245:AQ245" si="187">C668+C654</f>
        <v>146.13900000000001</v>
      </c>
      <c r="D245" s="872">
        <f t="shared" si="187"/>
        <v>361.97900000000004</v>
      </c>
      <c r="E245" s="872">
        <f t="shared" si="187"/>
        <v>1966.643</v>
      </c>
      <c r="F245" s="872">
        <f t="shared" si="187"/>
        <v>2874.17</v>
      </c>
      <c r="G245" s="871">
        <f t="shared" si="187"/>
        <v>2968.1790000000001</v>
      </c>
      <c r="H245" s="871">
        <f t="shared" si="187"/>
        <v>3045.8109999999997</v>
      </c>
      <c r="I245" s="871">
        <f t="shared" si="187"/>
        <v>3385.9009999999998</v>
      </c>
      <c r="J245" s="871">
        <f t="shared" si="187"/>
        <v>3797.4920000000002</v>
      </c>
      <c r="K245" s="872">
        <f t="shared" si="187"/>
        <v>3797.4920000000002</v>
      </c>
      <c r="L245" s="871">
        <f t="shared" si="187"/>
        <v>3950.884</v>
      </c>
      <c r="M245" s="871">
        <f t="shared" si="187"/>
        <v>4135.1369999999997</v>
      </c>
      <c r="N245" s="871">
        <f t="shared" si="187"/>
        <v>4638.8630000000003</v>
      </c>
      <c r="O245" s="871">
        <f t="shared" si="187"/>
        <v>4899.0280000000002</v>
      </c>
      <c r="P245" s="872">
        <f t="shared" si="187"/>
        <v>4899.0280000000002</v>
      </c>
      <c r="Q245" s="871">
        <f t="shared" si="187"/>
        <v>5682.8</v>
      </c>
      <c r="R245" s="871">
        <f t="shared" si="187"/>
        <v>6151.7129999999997</v>
      </c>
      <c r="S245" s="871">
        <f t="shared" si="187"/>
        <v>6586.9740000000002</v>
      </c>
      <c r="T245" s="871">
        <f t="shared" si="187"/>
        <v>7218.8150000000005</v>
      </c>
      <c r="U245" s="872">
        <f t="shared" si="187"/>
        <v>7218.8150000000005</v>
      </c>
      <c r="V245" s="871">
        <f t="shared" si="187"/>
        <v>8518.8009999999995</v>
      </c>
      <c r="W245" s="871">
        <f t="shared" si="187"/>
        <v>9092.2000000000007</v>
      </c>
      <c r="X245" s="871">
        <f t="shared" si="187"/>
        <v>10310.073</v>
      </c>
      <c r="Y245" s="871">
        <f t="shared" si="187"/>
        <v>11000.808000000001</v>
      </c>
      <c r="Z245" s="872">
        <f t="shared" si="187"/>
        <v>11000.808000000001</v>
      </c>
      <c r="AA245" s="871">
        <f t="shared" si="187"/>
        <v>12055.726999999999</v>
      </c>
      <c r="AB245" s="871">
        <f t="shared" si="187"/>
        <v>13227.584999999999</v>
      </c>
      <c r="AC245" s="871">
        <f t="shared" si="187"/>
        <v>13963.091</v>
      </c>
      <c r="AD245" s="871">
        <f t="shared" si="187"/>
        <v>14681.989000000001</v>
      </c>
      <c r="AE245" s="872">
        <f t="shared" si="187"/>
        <v>14681.989000000001</v>
      </c>
      <c r="AF245" s="871">
        <f t="shared" si="187"/>
        <v>15941.325000000001</v>
      </c>
      <c r="AG245" s="871">
        <f t="shared" si="187"/>
        <v>17095.733</v>
      </c>
      <c r="AH245" s="871">
        <f t="shared" si="187"/>
        <v>18396.359</v>
      </c>
      <c r="AI245" s="871">
        <f t="shared" si="187"/>
        <v>20112.14</v>
      </c>
      <c r="AJ245" s="872">
        <f t="shared" si="187"/>
        <v>20112.14</v>
      </c>
      <c r="AK245" s="871">
        <f t="shared" si="187"/>
        <v>20888.785</v>
      </c>
      <c r="AL245" s="871">
        <f t="shared" si="187"/>
        <v>21945.74</v>
      </c>
      <c r="AM245" s="871">
        <f t="shared" si="187"/>
        <v>23234.993999999999</v>
      </c>
      <c r="AN245" s="871">
        <f t="shared" si="187"/>
        <v>24504.567000000003</v>
      </c>
      <c r="AO245" s="872">
        <f t="shared" si="187"/>
        <v>24504.567000000003</v>
      </c>
      <c r="AP245" s="871">
        <f t="shared" si="187"/>
        <v>25266.888999999999</v>
      </c>
      <c r="AQ245" s="871">
        <f t="shared" si="187"/>
        <v>25155.116999999998</v>
      </c>
      <c r="AR245" s="871">
        <f>AR668+AR654</f>
        <v>25067.633000000002</v>
      </c>
      <c r="AS245" s="871">
        <f>AS668+AS654</f>
        <v>25383.949999999997</v>
      </c>
      <c r="AT245" s="872">
        <f>AT668+AT654</f>
        <v>25383.949999999997</v>
      </c>
      <c r="AU245" s="871">
        <f t="shared" ref="AU245" si="188">AU668+AU654</f>
        <v>26043.990999999998</v>
      </c>
      <c r="AV245" s="871">
        <f>AV668+AV654</f>
        <v>27291.64</v>
      </c>
      <c r="AW245" s="873">
        <f>AW668+AW654</f>
        <v>28974.044999999998</v>
      </c>
      <c r="AX245" s="870">
        <f t="shared" ref="AX245:BG245" si="189">SUM(AX241:AX244)</f>
        <v>29505.097694520548</v>
      </c>
      <c r="AY245" s="869">
        <f t="shared" si="189"/>
        <v>29473.515694520549</v>
      </c>
      <c r="AZ245" s="870">
        <f t="shared" si="189"/>
        <v>30345.166980060429</v>
      </c>
      <c r="BA245" s="870">
        <f t="shared" si="189"/>
        <v>31164.346853983967</v>
      </c>
      <c r="BB245" s="870">
        <f t="shared" si="189"/>
        <v>31861.851810373169</v>
      </c>
      <c r="BC245" s="870">
        <f t="shared" si="189"/>
        <v>32485.516790009282</v>
      </c>
      <c r="BD245" s="869">
        <f t="shared" si="189"/>
        <v>32485.516790009282</v>
      </c>
      <c r="BE245" s="869">
        <f t="shared" si="189"/>
        <v>34828.335298205384</v>
      </c>
      <c r="BF245" s="869">
        <f t="shared" si="189"/>
        <v>36187.170032959126</v>
      </c>
      <c r="BG245" s="869">
        <f t="shared" si="189"/>
        <v>36975.294179116296</v>
      </c>
      <c r="BH245" s="824"/>
    </row>
    <row r="246" spans="1:60" customFormat="1" hidden="1" outlineLevel="1" x14ac:dyDescent="0.25">
      <c r="A246" s="494"/>
      <c r="B246" s="493"/>
      <c r="C246" s="874"/>
      <c r="D246" s="874"/>
      <c r="E246" s="874"/>
      <c r="F246" s="874"/>
      <c r="G246" s="879"/>
      <c r="H246" s="879"/>
      <c r="I246" s="879"/>
      <c r="J246" s="879"/>
      <c r="K246" s="874"/>
      <c r="L246" s="879"/>
      <c r="M246" s="879"/>
      <c r="N246" s="879"/>
      <c r="O246" s="879"/>
      <c r="P246" s="874"/>
      <c r="Q246" s="879"/>
      <c r="R246" s="879"/>
      <c r="S246" s="879"/>
      <c r="T246" s="879"/>
      <c r="U246" s="874"/>
      <c r="V246" s="879"/>
      <c r="W246" s="879"/>
      <c r="X246" s="879"/>
      <c r="Y246" s="879"/>
      <c r="Z246" s="874"/>
      <c r="AA246" s="879"/>
      <c r="AB246" s="879"/>
      <c r="AC246" s="879"/>
      <c r="AD246" s="879"/>
      <c r="AE246" s="874"/>
      <c r="AF246" s="879"/>
      <c r="AG246" s="879"/>
      <c r="AH246" s="879"/>
      <c r="AI246" s="879"/>
      <c r="AJ246" s="874"/>
      <c r="AK246" s="879"/>
      <c r="AL246" s="879"/>
      <c r="AM246" s="879"/>
      <c r="AN246" s="879"/>
      <c r="AO246" s="874"/>
      <c r="AP246" s="879"/>
      <c r="AQ246" s="879"/>
      <c r="AR246" s="879"/>
      <c r="AS246" s="879"/>
      <c r="AT246" s="874"/>
      <c r="AU246" s="879"/>
      <c r="AV246" s="879"/>
      <c r="AW246" s="880"/>
      <c r="AX246" s="879"/>
      <c r="AY246" s="874"/>
      <c r="AZ246" s="879"/>
      <c r="BA246" s="879"/>
      <c r="BB246" s="879"/>
      <c r="BC246" s="879"/>
      <c r="BD246" s="874"/>
      <c r="BE246" s="874"/>
      <c r="BF246" s="874"/>
      <c r="BG246" s="874"/>
      <c r="BH246" s="824"/>
    </row>
    <row r="247" spans="1:60" customFormat="1" hidden="1" outlineLevel="1" x14ac:dyDescent="0.25">
      <c r="A247" s="64" t="s">
        <v>33</v>
      </c>
      <c r="B247" s="153"/>
      <c r="C247" s="56"/>
      <c r="D247" s="56">
        <f>-D245/D243</f>
        <v>1.2042043140959962</v>
      </c>
      <c r="E247" s="56">
        <f>-E245/E243</f>
        <v>2.4710543906557838</v>
      </c>
      <c r="F247" s="56">
        <f>-F245/F243</f>
        <v>1.7349666246935014</v>
      </c>
      <c r="G247" s="80">
        <f>-G245/G243/4</f>
        <v>1.4723782037672353</v>
      </c>
      <c r="H247" s="80">
        <f>-H245/H243/4</f>
        <v>1.4422573533172083</v>
      </c>
      <c r="I247" s="80">
        <f>-I245/I243/4</f>
        <v>1.4825993099099728</v>
      </c>
      <c r="J247" s="80">
        <f>-J245/J243/4</f>
        <v>1.6079348949071013</v>
      </c>
      <c r="K247" s="56">
        <f>-K245/K243</f>
        <v>1.7314009080356321</v>
      </c>
      <c r="L247" s="80">
        <f>-L245/L243/4</f>
        <v>1.6012181124930291</v>
      </c>
      <c r="M247" s="80">
        <f>-M245/M243/4</f>
        <v>1.5759867217513264</v>
      </c>
      <c r="N247" s="80">
        <f>-N245/N243/4</f>
        <v>1.6463343048140111</v>
      </c>
      <c r="O247" s="80">
        <f>-O245/O243/4</f>
        <v>1.631853980714987</v>
      </c>
      <c r="P247" s="56">
        <f>-P245/P243</f>
        <v>1.7959827991362909</v>
      </c>
      <c r="Q247" s="80">
        <f>-Q245/Q243/4</f>
        <v>1.8433819512834388</v>
      </c>
      <c r="R247" s="80">
        <f>-R245/R243/4</f>
        <v>1.8234580804422034</v>
      </c>
      <c r="S247" s="80">
        <f>-S245/S243/4</f>
        <v>1.8502902273278856</v>
      </c>
      <c r="T247" s="80">
        <f>-T245/T243/4</f>
        <v>1.840306315989126</v>
      </c>
      <c r="U247" s="56">
        <f>-U245/U243</f>
        <v>2.0715374536338493</v>
      </c>
      <c r="V247" s="80">
        <f>-V245/V243/4</f>
        <v>1.9738417571703173</v>
      </c>
      <c r="W247" s="80">
        <f>-W245/W243/4</f>
        <v>1.901526039374861</v>
      </c>
      <c r="X247" s="80">
        <f>-X245/X243/4</f>
        <v>2.0729731653412604</v>
      </c>
      <c r="Y247" s="80">
        <f>-Y245/Y243/4</f>
        <v>2.0376183398853391</v>
      </c>
      <c r="Z247" s="56">
        <f>-Z245/Z243</f>
        <v>2.2600762206083269</v>
      </c>
      <c r="AA247" s="80">
        <f>-AA245/AA243/4</f>
        <v>2.2759004697643475</v>
      </c>
      <c r="AB247" s="80">
        <f>-AB245/AB243/4</f>
        <v>2.1099251581536458</v>
      </c>
      <c r="AC247" s="80">
        <f>-AC245/AC243/4</f>
        <v>2.1275651597819518</v>
      </c>
      <c r="AD247" s="80">
        <f>-AD245/AD243/4</f>
        <v>2.1264044244075837</v>
      </c>
      <c r="AE247" s="56">
        <f>-AE245/AE243</f>
        <v>2.3459375240673688</v>
      </c>
      <c r="AF247" s="80">
        <f>-AF245/AF243/4</f>
        <v>2.2644210609450801</v>
      </c>
      <c r="AG247" s="80">
        <f>-AG245/AG243/4</f>
        <v>2.3367966195199377</v>
      </c>
      <c r="AH247" s="80">
        <f>-AH245/AH243/4</f>
        <v>2.3932078506509256</v>
      </c>
      <c r="AI247" s="80">
        <f>-AI245/AI243/4</f>
        <v>2.4376874128840678</v>
      </c>
      <c r="AJ247" s="56">
        <f>-AJ245/AJ243</f>
        <v>2.6556639773942665</v>
      </c>
      <c r="AK247" s="80">
        <f>-AK245/AK243/4</f>
        <v>2.4578673036862857</v>
      </c>
      <c r="AL247" s="80">
        <f>-AL245/AL243/4</f>
        <v>2.4581738103825646</v>
      </c>
      <c r="AM247" s="80">
        <f>-AM245/AM243/4</f>
        <v>2.5477224112348491</v>
      </c>
      <c r="AN247" s="80">
        <f>-AN245/AN243/4</f>
        <v>2.374778217670563</v>
      </c>
      <c r="AO247" s="56">
        <f>-AO245/AO243</f>
        <v>2.6588444298422127</v>
      </c>
      <c r="AP247" s="80">
        <f>-AP245/AP243/4</f>
        <v>2.5435936232199192</v>
      </c>
      <c r="AQ247" s="80">
        <f>-AQ245/AQ243/4</f>
        <v>2.4121195715336121</v>
      </c>
      <c r="AR247" s="80">
        <f>-AR245/AR243/4</f>
        <v>2.2924277263810091</v>
      </c>
      <c r="AS247" s="80">
        <f>-AS245/AS243/4</f>
        <v>2.1276518167721385</v>
      </c>
      <c r="AT247" s="56">
        <f>-AT245/AT243</f>
        <v>2.3488624687607333</v>
      </c>
      <c r="AU247" s="80">
        <f>-AU245/AU243/4</f>
        <v>2.3944569460973022</v>
      </c>
      <c r="AV247" s="80">
        <f>-AV245/AV243/4</f>
        <v>2.4308474802114719</v>
      </c>
      <c r="AW247" s="577">
        <f>-AW245/AW243/4</f>
        <v>2.4446124113287286</v>
      </c>
      <c r="AX247" s="80">
        <f>-AX245/AX243/4</f>
        <v>2.1263725776343678</v>
      </c>
      <c r="AY247" s="56">
        <f>-AY245/AY243</f>
        <v>2.4647534985657722</v>
      </c>
      <c r="AZ247" s="80">
        <f>-AZ245/AZ243/4</f>
        <v>2.4250147401883604</v>
      </c>
      <c r="BA247" s="80">
        <f>-BA245/BA243/4</f>
        <v>2.4493955661385622</v>
      </c>
      <c r="BB247" s="80">
        <f>-BB245/BB243/4</f>
        <v>2.41195303775058</v>
      </c>
      <c r="BC247" s="80">
        <f>-BC245/BC243/4</f>
        <v>2.4053830998758619</v>
      </c>
      <c r="BD247" s="56">
        <f>-BD245/BD243</f>
        <v>2.5011949129997011</v>
      </c>
      <c r="BE247" s="56">
        <f>-BE245/BE243</f>
        <v>2.5501847009287357</v>
      </c>
      <c r="BF247" s="56">
        <f>-BF245/BF243</f>
        <v>2.4716045053365137</v>
      </c>
      <c r="BG247" s="56">
        <f>-BG245/BG243</f>
        <v>2.4306860333583109</v>
      </c>
      <c r="BH247" s="138"/>
    </row>
    <row r="248" spans="1:60" s="57" customFormat="1" hidden="1" outlineLevel="1" x14ac:dyDescent="0.25">
      <c r="A248" s="64"/>
      <c r="B248" s="153"/>
      <c r="C248" s="56"/>
      <c r="D248" s="56"/>
      <c r="E248" s="56"/>
      <c r="F248" s="56"/>
      <c r="G248" s="80"/>
      <c r="H248" s="80"/>
      <c r="I248" s="80"/>
      <c r="J248" s="80"/>
      <c r="K248" s="56"/>
      <c r="L248" s="80"/>
      <c r="M248" s="80"/>
      <c r="N248" s="80"/>
      <c r="O248" s="80"/>
      <c r="P248" s="56"/>
      <c r="Q248" s="80"/>
      <c r="R248" s="80"/>
      <c r="S248" s="80"/>
      <c r="T248" s="80"/>
      <c r="U248" s="56"/>
      <c r="V248" s="80"/>
      <c r="W248" s="80"/>
      <c r="X248" s="80"/>
      <c r="Y248" s="80"/>
      <c r="Z248" s="56"/>
      <c r="AA248" s="80"/>
      <c r="AB248" s="80"/>
      <c r="AC248" s="80"/>
      <c r="AD248" s="80"/>
      <c r="AE248" s="56"/>
      <c r="AF248" s="80"/>
      <c r="AG248" s="80"/>
      <c r="AH248" s="80"/>
      <c r="AI248" s="80"/>
      <c r="AJ248" s="56"/>
      <c r="AK248" s="80"/>
      <c r="AL248" s="80"/>
      <c r="AM248" s="80"/>
      <c r="AN248" s="80"/>
      <c r="AO248" s="56"/>
      <c r="AP248" s="80"/>
      <c r="AQ248" s="80"/>
      <c r="AR248" s="80"/>
      <c r="AS248" s="80"/>
      <c r="AT248" s="56"/>
      <c r="AU248" s="80"/>
      <c r="AV248" s="80"/>
      <c r="AW248" s="577"/>
      <c r="AX248" s="80"/>
      <c r="AY248" s="56"/>
      <c r="AZ248" s="80"/>
      <c r="BA248" s="80"/>
      <c r="BB248" s="80"/>
      <c r="BC248" s="80"/>
      <c r="BD248" s="56"/>
      <c r="BE248" s="56"/>
      <c r="BF248" s="56"/>
      <c r="BG248" s="56"/>
      <c r="BH248" s="138"/>
    </row>
    <row r="249" spans="1:60" customFormat="1" hidden="1" outlineLevel="1" x14ac:dyDescent="0.25">
      <c r="A249" s="76" t="s">
        <v>676</v>
      </c>
      <c r="B249" s="289"/>
      <c r="C249" s="864"/>
      <c r="D249" s="864"/>
      <c r="E249" s="864"/>
      <c r="F249" s="864"/>
      <c r="G249" s="867"/>
      <c r="H249" s="867"/>
      <c r="I249" s="867"/>
      <c r="J249" s="867"/>
      <c r="K249" s="864"/>
      <c r="L249" s="867"/>
      <c r="M249" s="867"/>
      <c r="N249" s="867"/>
      <c r="O249" s="867"/>
      <c r="P249" s="864"/>
      <c r="Q249" s="867"/>
      <c r="R249" s="867"/>
      <c r="S249" s="867"/>
      <c r="T249" s="867"/>
      <c r="U249" s="864"/>
      <c r="V249" s="867"/>
      <c r="W249" s="867"/>
      <c r="X249" s="867"/>
      <c r="Y249" s="867"/>
      <c r="Z249" s="864"/>
      <c r="AA249" s="867"/>
      <c r="AB249" s="867"/>
      <c r="AC249" s="867"/>
      <c r="AD249" s="867"/>
      <c r="AE249" s="864"/>
      <c r="AF249" s="866">
        <v>1557.424</v>
      </c>
      <c r="AG249" s="866">
        <v>1581.5360000000001</v>
      </c>
      <c r="AH249" s="866">
        <v>1671.5160000000001</v>
      </c>
      <c r="AI249" s="867">
        <f>AJ249-SUM(AF249,AG249,AH249)</f>
        <v>1701.2129999999997</v>
      </c>
      <c r="AJ249" s="864">
        <v>6511.6890000000003</v>
      </c>
      <c r="AK249" s="866">
        <v>1774.289</v>
      </c>
      <c r="AL249" s="866">
        <v>1797.1790000000001</v>
      </c>
      <c r="AM249" s="866">
        <v>1810.7570000000001</v>
      </c>
      <c r="AN249" s="867">
        <f>AO249-SUM(AK249,AL249,AM249)</f>
        <v>1860.5739999999996</v>
      </c>
      <c r="AO249" s="864">
        <v>7242.799</v>
      </c>
      <c r="AP249" s="867">
        <v>1860.17</v>
      </c>
      <c r="AQ249" s="867">
        <v>1883.07</v>
      </c>
      <c r="AR249" s="867">
        <v>1885.259</v>
      </c>
      <c r="AS249" s="867">
        <f>AT249-SUM(AP249,AQ249,AR249)</f>
        <v>1916.1320000000005</v>
      </c>
      <c r="AT249" s="864">
        <v>7544.6310000000003</v>
      </c>
      <c r="AU249" s="867">
        <v>1829.2460000000001</v>
      </c>
      <c r="AV249" s="867">
        <v>1884.6379999999999</v>
      </c>
      <c r="AW249" s="868">
        <v>1965.5139999999999</v>
      </c>
      <c r="AX249" s="867"/>
      <c r="AY249" s="864"/>
      <c r="AZ249" s="867"/>
      <c r="BA249" s="867"/>
      <c r="BB249" s="867"/>
      <c r="BC249" s="867"/>
      <c r="BD249" s="864"/>
      <c r="BE249" s="864"/>
      <c r="BF249" s="864"/>
      <c r="BG249" s="864"/>
      <c r="BH249" s="821"/>
    </row>
    <row r="250" spans="1:60" customFormat="1" hidden="1" outlineLevel="1" x14ac:dyDescent="0.25">
      <c r="A250" s="76" t="s">
        <v>677</v>
      </c>
      <c r="B250" s="289"/>
      <c r="C250" s="864"/>
      <c r="D250" s="864"/>
      <c r="E250" s="864"/>
      <c r="F250" s="864"/>
      <c r="G250" s="867"/>
      <c r="H250" s="867"/>
      <c r="I250" s="867"/>
      <c r="J250" s="867"/>
      <c r="K250" s="864"/>
      <c r="L250" s="867"/>
      <c r="M250" s="867"/>
      <c r="N250" s="867"/>
      <c r="O250" s="867"/>
      <c r="P250" s="864"/>
      <c r="Q250" s="867"/>
      <c r="R250" s="867"/>
      <c r="S250" s="867"/>
      <c r="T250" s="867"/>
      <c r="U250" s="864"/>
      <c r="V250" s="867"/>
      <c r="W250" s="867"/>
      <c r="X250" s="867"/>
      <c r="Y250" s="867"/>
      <c r="Z250" s="864"/>
      <c r="AA250" s="867"/>
      <c r="AB250" s="867"/>
      <c r="AC250" s="867"/>
      <c r="AD250" s="867"/>
      <c r="AE250" s="864"/>
      <c r="AF250" s="866">
        <v>191.42</v>
      </c>
      <c r="AG250" s="866">
        <v>236.28100000000001</v>
      </c>
      <c r="AH250" s="866">
        <v>240.251</v>
      </c>
      <c r="AI250" s="867">
        <f>AJ250-SUM(AF250,AG250,AH250)</f>
        <v>311.23500000000001</v>
      </c>
      <c r="AJ250" s="864">
        <f>1020.399-AJ252</f>
        <v>979.18700000000001</v>
      </c>
      <c r="AK250" s="866">
        <v>350.39699999999999</v>
      </c>
      <c r="AL250" s="866">
        <v>434.73599999999999</v>
      </c>
      <c r="AM250" s="866">
        <v>469.22</v>
      </c>
      <c r="AN250" s="867">
        <f>AO250-SUM(AK250,AL250,AM250)</f>
        <v>719.09500000000003</v>
      </c>
      <c r="AO250" s="864">
        <v>1973.4480000000001</v>
      </c>
      <c r="AP250" s="867">
        <v>623.21500000000003</v>
      </c>
      <c r="AQ250" s="867">
        <v>724.08900000000006</v>
      </c>
      <c r="AR250" s="867">
        <v>848.48400000000004</v>
      </c>
      <c r="AS250" s="867">
        <f>AT250-SUM(AP250,AQ250,AR250)</f>
        <v>1066.4929999999999</v>
      </c>
      <c r="AT250" s="864">
        <v>3262.2809999999999</v>
      </c>
      <c r="AU250" s="867">
        <v>889.95</v>
      </c>
      <c r="AV250" s="867">
        <v>922.16499999999996</v>
      </c>
      <c r="AW250" s="868">
        <v>997.53700000000003</v>
      </c>
      <c r="AX250" s="867"/>
      <c r="AY250" s="864"/>
      <c r="AZ250" s="867"/>
      <c r="BA250" s="867"/>
      <c r="BB250" s="867"/>
      <c r="BC250" s="867"/>
      <c r="BD250" s="864"/>
      <c r="BE250" s="864"/>
      <c r="BF250" s="864"/>
      <c r="BG250" s="864"/>
      <c r="BH250" s="821"/>
    </row>
    <row r="251" spans="1:60" s="58" customFormat="1" hidden="1" outlineLevel="1" x14ac:dyDescent="0.25">
      <c r="A251" s="68" t="s">
        <v>689</v>
      </c>
      <c r="B251" s="505"/>
      <c r="C251" s="872">
        <v>48.192</v>
      </c>
      <c r="D251" s="872">
        <v>158.1</v>
      </c>
      <c r="E251" s="872">
        <v>699.12800000000004</v>
      </c>
      <c r="F251" s="872">
        <v>1591.2180000000001</v>
      </c>
      <c r="G251" s="871">
        <v>485.74</v>
      </c>
      <c r="H251" s="871">
        <v>510.25</v>
      </c>
      <c r="I251" s="871">
        <v>553.39400000000001</v>
      </c>
      <c r="J251" s="871">
        <v>572.59700000000021</v>
      </c>
      <c r="K251" s="872">
        <v>2121.9810000000002</v>
      </c>
      <c r="L251" s="871">
        <v>600.73500000000001</v>
      </c>
      <c r="M251" s="871">
        <v>639.03699999999992</v>
      </c>
      <c r="N251" s="871">
        <v>686.154</v>
      </c>
      <c r="O251" s="871">
        <v>730.35300000000007</v>
      </c>
      <c r="P251" s="872">
        <v>2656.279</v>
      </c>
      <c r="Q251" s="871">
        <v>749.51800000000003</v>
      </c>
      <c r="R251" s="871">
        <v>822.59999999999991</v>
      </c>
      <c r="S251" s="871">
        <v>871.40300000000025</v>
      </c>
      <c r="T251" s="871">
        <v>961.86099999999988</v>
      </c>
      <c r="U251" s="872">
        <v>3405.3820000000001</v>
      </c>
      <c r="V251" s="871">
        <v>1058.521</v>
      </c>
      <c r="W251" s="871">
        <v>1175.3610000000001</v>
      </c>
      <c r="X251" s="871">
        <v>1224.1079999999997</v>
      </c>
      <c r="Y251" s="870">
        <v>1330.5079999999998</v>
      </c>
      <c r="Z251" s="869">
        <v>4788.4979999999996</v>
      </c>
      <c r="AA251" s="871">
        <v>1305.683</v>
      </c>
      <c r="AB251" s="871">
        <v>1550.7940000000001</v>
      </c>
      <c r="AC251" s="871">
        <v>1627.4770000000001</v>
      </c>
      <c r="AD251" s="870">
        <f>AE251-AC251-AB251-AA251</f>
        <v>1713.8630000000003</v>
      </c>
      <c r="AE251" s="869">
        <v>6197.817</v>
      </c>
      <c r="AF251" s="871">
        <f>SUM(AF249:AF250)</f>
        <v>1748.8440000000001</v>
      </c>
      <c r="AG251" s="871">
        <f>SUM(AG249:AG250)</f>
        <v>1817.817</v>
      </c>
      <c r="AH251" s="871">
        <f>SUM(AH249:AH250)</f>
        <v>1911.7670000000001</v>
      </c>
      <c r="AI251" s="870">
        <f>AJ251-AH251-AG251-AF251</f>
        <v>2053.66</v>
      </c>
      <c r="AJ251" s="869">
        <v>7532.0879999999997</v>
      </c>
      <c r="AK251" s="871">
        <f t="shared" ref="AK251:AW251" si="190">SUM(AK249:AK250)</f>
        <v>2124.6860000000001</v>
      </c>
      <c r="AL251" s="871">
        <f t="shared" si="190"/>
        <v>2231.915</v>
      </c>
      <c r="AM251" s="871">
        <f t="shared" si="190"/>
        <v>2279.9769999999999</v>
      </c>
      <c r="AN251" s="870">
        <f t="shared" si="190"/>
        <v>2579.6689999999999</v>
      </c>
      <c r="AO251" s="869">
        <f t="shared" si="190"/>
        <v>9216.2469999999994</v>
      </c>
      <c r="AP251" s="870">
        <f t="shared" si="190"/>
        <v>2483.3850000000002</v>
      </c>
      <c r="AQ251" s="870">
        <f t="shared" si="190"/>
        <v>2607.1590000000001</v>
      </c>
      <c r="AR251" s="870">
        <f t="shared" si="190"/>
        <v>2733.7429999999999</v>
      </c>
      <c r="AS251" s="870">
        <f t="shared" si="190"/>
        <v>2982.6250000000005</v>
      </c>
      <c r="AT251" s="869">
        <f t="shared" si="190"/>
        <v>10806.912</v>
      </c>
      <c r="AU251" s="870">
        <f t="shared" si="190"/>
        <v>2719.1959999999999</v>
      </c>
      <c r="AV251" s="870">
        <f t="shared" si="190"/>
        <v>2806.8029999999999</v>
      </c>
      <c r="AW251" s="887">
        <f t="shared" si="190"/>
        <v>2963.0509999999999</v>
      </c>
      <c r="AX251" s="870"/>
      <c r="AY251" s="869"/>
      <c r="AZ251" s="870"/>
      <c r="BA251" s="870"/>
      <c r="BB251" s="870"/>
      <c r="BC251" s="870"/>
      <c r="BD251" s="869"/>
      <c r="BE251" s="869"/>
      <c r="BF251" s="869"/>
      <c r="BG251" s="869"/>
      <c r="BH251" s="824"/>
    </row>
    <row r="252" spans="1:60" customFormat="1" hidden="1" outlineLevel="1" x14ac:dyDescent="0.25">
      <c r="A252" s="367" t="s">
        <v>678</v>
      </c>
      <c r="B252" s="289"/>
      <c r="C252" s="865">
        <v>171.298</v>
      </c>
      <c r="D252" s="865">
        <v>142.49600000000001</v>
      </c>
      <c r="E252" s="865">
        <v>96.744</v>
      </c>
      <c r="F252" s="865">
        <v>65.396000000000001</v>
      </c>
      <c r="G252" s="866">
        <v>18.236999999999998</v>
      </c>
      <c r="H252" s="866">
        <v>17.709</v>
      </c>
      <c r="I252" s="866">
        <v>17.545999999999999</v>
      </c>
      <c r="J252" s="866">
        <v>17.833000000000006</v>
      </c>
      <c r="K252" s="865">
        <v>71.325000000000003</v>
      </c>
      <c r="L252" s="866">
        <v>16.120999999999999</v>
      </c>
      <c r="M252" s="866">
        <v>16.922999999999998</v>
      </c>
      <c r="N252" s="866">
        <v>18.269000000000005</v>
      </c>
      <c r="O252" s="866">
        <v>20.177999999999997</v>
      </c>
      <c r="P252" s="865">
        <v>71.491</v>
      </c>
      <c r="Q252" s="866">
        <v>21.184999999999999</v>
      </c>
      <c r="R252" s="866">
        <v>20.812999999999999</v>
      </c>
      <c r="S252" s="866">
        <v>18.589000000000006</v>
      </c>
      <c r="T252" s="866">
        <v>18.792999999999992</v>
      </c>
      <c r="U252" s="865">
        <v>79.38</v>
      </c>
      <c r="V252" s="866">
        <v>20.440999999999999</v>
      </c>
      <c r="W252" s="866">
        <v>20.021000000000004</v>
      </c>
      <c r="X252" s="866">
        <v>19.283999999999999</v>
      </c>
      <c r="Y252" s="867">
        <v>19.205999999999996</v>
      </c>
      <c r="Z252" s="864">
        <v>78.951999999999998</v>
      </c>
      <c r="AA252" s="866">
        <v>18.597999999999999</v>
      </c>
      <c r="AB252" s="866">
        <v>16.510999999999999</v>
      </c>
      <c r="AC252" s="866">
        <v>13.259</v>
      </c>
      <c r="AD252" s="867">
        <f>AE252-AC252-AB252-AA252</f>
        <v>12.288999999999998</v>
      </c>
      <c r="AE252" s="864">
        <v>60.656999999999996</v>
      </c>
      <c r="AF252" s="866">
        <v>11.134</v>
      </c>
      <c r="AG252" s="866">
        <v>11.154</v>
      </c>
      <c r="AH252" s="866">
        <v>9.9589999999999996</v>
      </c>
      <c r="AI252" s="867">
        <f>AJ252-AH252-AG252-AF252</f>
        <v>8.9650000000000034</v>
      </c>
      <c r="AJ252" s="864">
        <v>41.212000000000003</v>
      </c>
      <c r="AK252" s="867"/>
      <c r="AL252" s="867"/>
      <c r="AM252" s="867"/>
      <c r="AN252" s="867"/>
      <c r="AO252" s="864"/>
      <c r="AP252" s="867"/>
      <c r="AQ252" s="867"/>
      <c r="AR252" s="867"/>
      <c r="AS252" s="867"/>
      <c r="AT252" s="864"/>
      <c r="AU252" s="867"/>
      <c r="AV252" s="867"/>
      <c r="AW252" s="868"/>
      <c r="AX252" s="867"/>
      <c r="AY252" s="864"/>
      <c r="AZ252" s="867"/>
      <c r="BA252" s="867"/>
      <c r="BB252" s="867"/>
      <c r="BC252" s="867"/>
      <c r="BD252" s="864"/>
      <c r="BE252" s="864"/>
      <c r="BF252" s="864"/>
      <c r="BG252" s="864"/>
      <c r="BH252" s="821"/>
    </row>
    <row r="253" spans="1:60" customFormat="1" hidden="1" outlineLevel="1" x14ac:dyDescent="0.25">
      <c r="A253" s="61" t="s">
        <v>679</v>
      </c>
      <c r="B253" s="505"/>
      <c r="C253" s="872">
        <f t="shared" ref="C253:AW253" si="191">SUM(C251:C252)</f>
        <v>219.49</v>
      </c>
      <c r="D253" s="872">
        <f t="shared" si="191"/>
        <v>300.596</v>
      </c>
      <c r="E253" s="872">
        <f t="shared" si="191"/>
        <v>795.87200000000007</v>
      </c>
      <c r="F253" s="872">
        <f t="shared" si="191"/>
        <v>1656.614</v>
      </c>
      <c r="G253" s="871">
        <f t="shared" si="191"/>
        <v>503.97700000000003</v>
      </c>
      <c r="H253" s="871">
        <f t="shared" si="191"/>
        <v>527.95899999999995</v>
      </c>
      <c r="I253" s="871">
        <f t="shared" si="191"/>
        <v>570.94000000000005</v>
      </c>
      <c r="J253" s="871">
        <f t="shared" si="191"/>
        <v>590.43000000000018</v>
      </c>
      <c r="K253" s="872">
        <f t="shared" si="191"/>
        <v>2193.306</v>
      </c>
      <c r="L253" s="871">
        <f t="shared" si="191"/>
        <v>616.85599999999999</v>
      </c>
      <c r="M253" s="871">
        <f t="shared" si="191"/>
        <v>655.95999999999992</v>
      </c>
      <c r="N253" s="871">
        <f t="shared" si="191"/>
        <v>704.423</v>
      </c>
      <c r="O253" s="871">
        <f t="shared" si="191"/>
        <v>750.53100000000006</v>
      </c>
      <c r="P253" s="872">
        <f t="shared" si="191"/>
        <v>2727.77</v>
      </c>
      <c r="Q253" s="871">
        <f t="shared" si="191"/>
        <v>770.70299999999997</v>
      </c>
      <c r="R253" s="871">
        <f t="shared" si="191"/>
        <v>843.4129999999999</v>
      </c>
      <c r="S253" s="871">
        <f t="shared" si="191"/>
        <v>889.9920000000003</v>
      </c>
      <c r="T253" s="871">
        <f t="shared" si="191"/>
        <v>980.65399999999988</v>
      </c>
      <c r="U253" s="872">
        <f t="shared" si="191"/>
        <v>3484.7620000000002</v>
      </c>
      <c r="V253" s="871">
        <f t="shared" si="191"/>
        <v>1078.962</v>
      </c>
      <c r="W253" s="871">
        <f t="shared" si="191"/>
        <v>1195.3820000000001</v>
      </c>
      <c r="X253" s="871">
        <f t="shared" si="191"/>
        <v>1243.3919999999998</v>
      </c>
      <c r="Y253" s="870">
        <f t="shared" si="191"/>
        <v>1349.7139999999997</v>
      </c>
      <c r="Z253" s="869">
        <f t="shared" si="191"/>
        <v>4867.45</v>
      </c>
      <c r="AA253" s="871">
        <f t="shared" si="191"/>
        <v>1324.2809999999999</v>
      </c>
      <c r="AB253" s="871">
        <f t="shared" si="191"/>
        <v>1567.3050000000001</v>
      </c>
      <c r="AC253" s="871">
        <f t="shared" si="191"/>
        <v>1640.7360000000001</v>
      </c>
      <c r="AD253" s="870">
        <f t="shared" si="191"/>
        <v>1726.1520000000003</v>
      </c>
      <c r="AE253" s="869">
        <f t="shared" si="191"/>
        <v>6258.4740000000002</v>
      </c>
      <c r="AF253" s="871">
        <f t="shared" si="191"/>
        <v>1759.9780000000001</v>
      </c>
      <c r="AG253" s="871">
        <f t="shared" si="191"/>
        <v>1828.971</v>
      </c>
      <c r="AH253" s="871">
        <f t="shared" si="191"/>
        <v>1921.7260000000001</v>
      </c>
      <c r="AI253" s="870">
        <f t="shared" si="191"/>
        <v>2062.625</v>
      </c>
      <c r="AJ253" s="869">
        <f t="shared" si="191"/>
        <v>7573.3</v>
      </c>
      <c r="AK253" s="871">
        <f t="shared" si="191"/>
        <v>2124.6860000000001</v>
      </c>
      <c r="AL253" s="871">
        <f t="shared" si="191"/>
        <v>2231.915</v>
      </c>
      <c r="AM253" s="871">
        <f t="shared" si="191"/>
        <v>2279.9769999999999</v>
      </c>
      <c r="AN253" s="870">
        <f t="shared" si="191"/>
        <v>2579.6689999999999</v>
      </c>
      <c r="AO253" s="869">
        <f t="shared" si="191"/>
        <v>9216.2469999999994</v>
      </c>
      <c r="AP253" s="870">
        <f t="shared" si="191"/>
        <v>2483.3850000000002</v>
      </c>
      <c r="AQ253" s="870">
        <f t="shared" si="191"/>
        <v>2607.1590000000001</v>
      </c>
      <c r="AR253" s="870">
        <f t="shared" si="191"/>
        <v>2733.7429999999999</v>
      </c>
      <c r="AS253" s="870">
        <f t="shared" si="191"/>
        <v>2982.6250000000005</v>
      </c>
      <c r="AT253" s="869">
        <f t="shared" si="191"/>
        <v>10806.912</v>
      </c>
      <c r="AU253" s="870">
        <f t="shared" si="191"/>
        <v>2719.1959999999999</v>
      </c>
      <c r="AV253" s="870">
        <f t="shared" si="191"/>
        <v>2806.8029999999999</v>
      </c>
      <c r="AW253" s="887">
        <f t="shared" si="191"/>
        <v>2963.0509999999999</v>
      </c>
      <c r="AX253" s="870"/>
      <c r="AY253" s="869"/>
      <c r="AZ253" s="870"/>
      <c r="BA253" s="870"/>
      <c r="BB253" s="870"/>
      <c r="BC253" s="870"/>
      <c r="BD253" s="869"/>
      <c r="BE253" s="869"/>
      <c r="BF253" s="869"/>
      <c r="BG253" s="869"/>
      <c r="BH253" s="821"/>
    </row>
    <row r="254" spans="1:60" customFormat="1" collapsed="1" x14ac:dyDescent="0.25">
      <c r="A254" s="495"/>
      <c r="B254" s="442"/>
      <c r="C254" s="864"/>
      <c r="D254" s="864"/>
      <c r="E254" s="864"/>
      <c r="F254" s="864"/>
      <c r="G254" s="867"/>
      <c r="H254" s="867"/>
      <c r="I254" s="867"/>
      <c r="J254" s="867"/>
      <c r="K254" s="864"/>
      <c r="L254" s="867"/>
      <c r="M254" s="867"/>
      <c r="N254" s="867"/>
      <c r="O254" s="867"/>
      <c r="P254" s="864"/>
      <c r="Q254" s="867"/>
      <c r="R254" s="867"/>
      <c r="S254" s="867"/>
      <c r="T254" s="867"/>
      <c r="U254" s="864"/>
      <c r="V254" s="867"/>
      <c r="W254" s="867"/>
      <c r="X254" s="867"/>
      <c r="Y254" s="867"/>
      <c r="Z254" s="864"/>
      <c r="AA254" s="867"/>
      <c r="AB254" s="867"/>
      <c r="AC254" s="867"/>
      <c r="AD254" s="867"/>
      <c r="AE254" s="864"/>
      <c r="AF254" s="867"/>
      <c r="AG254" s="867"/>
      <c r="AH254" s="867"/>
      <c r="AI254" s="867"/>
      <c r="AJ254" s="864"/>
      <c r="AK254" s="867"/>
      <c r="AL254" s="867"/>
      <c r="AM254" s="867"/>
      <c r="AN254" s="867"/>
      <c r="AO254" s="864"/>
      <c r="AP254" s="867"/>
      <c r="AQ254" s="867"/>
      <c r="AR254" s="867"/>
      <c r="AS254" s="867"/>
      <c r="AT254" s="864"/>
      <c r="AU254" s="867"/>
      <c r="AV254" s="867"/>
      <c r="AW254" s="868"/>
      <c r="AX254" s="867"/>
      <c r="AY254" s="864"/>
      <c r="AZ254" s="867"/>
      <c r="BA254" s="867"/>
      <c r="BB254" s="867"/>
      <c r="BC254" s="867"/>
      <c r="BD254" s="864"/>
      <c r="BE254" s="864"/>
      <c r="BF254" s="864"/>
      <c r="BG254" s="864"/>
      <c r="BH254" s="821"/>
    </row>
    <row r="255" spans="1:60" s="57" customFormat="1" x14ac:dyDescent="0.25">
      <c r="A255" s="290" t="s">
        <v>730</v>
      </c>
      <c r="B255" s="365"/>
      <c r="C255" s="888"/>
      <c r="D255" s="888"/>
      <c r="E255" s="888"/>
      <c r="F255" s="888"/>
      <c r="G255" s="888"/>
      <c r="H255" s="888"/>
      <c r="I255" s="888"/>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9"/>
      <c r="AX255" s="888"/>
      <c r="AY255" s="888"/>
      <c r="AZ255" s="888"/>
      <c r="BA255" s="888"/>
      <c r="BB255" s="888"/>
      <c r="BC255" s="888"/>
      <c r="BD255" s="888"/>
      <c r="BE255" s="888"/>
      <c r="BF255" s="888"/>
      <c r="BG255" s="888"/>
      <c r="BH255" s="821"/>
    </row>
    <row r="256" spans="1:60" s="416" customFormat="1" hidden="1" outlineLevel="1" x14ac:dyDescent="0.25">
      <c r="A256" s="798" t="s">
        <v>731</v>
      </c>
      <c r="B256" s="496"/>
      <c r="C256" s="325"/>
      <c r="D256" s="325"/>
      <c r="E256" s="325"/>
      <c r="F256" s="325"/>
      <c r="G256" s="168"/>
      <c r="H256" s="168"/>
      <c r="I256" s="168"/>
      <c r="J256" s="168"/>
      <c r="K256" s="325"/>
      <c r="L256" s="168"/>
      <c r="M256" s="168"/>
      <c r="N256" s="168"/>
      <c r="O256" s="168"/>
      <c r="P256" s="325"/>
      <c r="Q256" s="168"/>
      <c r="R256" s="168"/>
      <c r="S256" s="168"/>
      <c r="T256" s="168"/>
      <c r="U256" s="325"/>
      <c r="V256" s="168"/>
      <c r="W256" s="168"/>
      <c r="X256" s="168"/>
      <c r="Y256" s="168"/>
      <c r="Z256" s="325"/>
      <c r="AA256" s="168"/>
      <c r="AB256" s="168"/>
      <c r="AC256" s="168"/>
      <c r="AD256" s="168"/>
      <c r="AE256" s="325"/>
      <c r="AF256" s="168"/>
      <c r="AG256" s="168"/>
      <c r="AH256" s="168"/>
      <c r="AI256" s="168"/>
      <c r="AJ256" s="325"/>
      <c r="AK256" s="168"/>
      <c r="AL256" s="168"/>
      <c r="AM256" s="168"/>
      <c r="AN256" s="168"/>
      <c r="AO256" s="325"/>
      <c r="AP256" s="168"/>
      <c r="AQ256" s="168"/>
      <c r="AR256" s="168"/>
      <c r="AS256" s="168"/>
      <c r="AT256" s="325"/>
      <c r="AU256" s="168"/>
      <c r="AV256" s="168">
        <v>7.0000000000000007E-2</v>
      </c>
      <c r="AW256" s="579">
        <v>0.06</v>
      </c>
      <c r="AX256" s="168"/>
      <c r="AY256" s="325"/>
      <c r="AZ256" s="168"/>
      <c r="BA256" s="168"/>
      <c r="BB256" s="168"/>
      <c r="BC256" s="168"/>
      <c r="BD256" s="325"/>
      <c r="BE256" s="325"/>
      <c r="BF256" s="325"/>
      <c r="BG256" s="325"/>
      <c r="BH256" s="67"/>
    </row>
    <row r="257" spans="1:60" s="416" customFormat="1" hidden="1" outlineLevel="1" x14ac:dyDescent="0.25">
      <c r="A257" s="798" t="s">
        <v>732</v>
      </c>
      <c r="B257" s="496"/>
      <c r="C257" s="325"/>
      <c r="D257" s="325"/>
      <c r="E257" s="325"/>
      <c r="F257" s="325"/>
      <c r="G257" s="168"/>
      <c r="H257" s="168"/>
      <c r="I257" s="168"/>
      <c r="J257" s="168"/>
      <c r="K257" s="325"/>
      <c r="L257" s="168"/>
      <c r="M257" s="168"/>
      <c r="N257" s="168"/>
      <c r="O257" s="168"/>
      <c r="P257" s="325"/>
      <c r="Q257" s="168"/>
      <c r="R257" s="168"/>
      <c r="S257" s="168"/>
      <c r="T257" s="168"/>
      <c r="U257" s="325"/>
      <c r="V257" s="168"/>
      <c r="W257" s="168"/>
      <c r="X257" s="168"/>
      <c r="Y257" s="168"/>
      <c r="Z257" s="325"/>
      <c r="AA257" s="168"/>
      <c r="AB257" s="168"/>
      <c r="AC257" s="168"/>
      <c r="AD257" s="168"/>
      <c r="AE257" s="325"/>
      <c r="AF257" s="168"/>
      <c r="AG257" s="168"/>
      <c r="AH257" s="168"/>
      <c r="AI257" s="168"/>
      <c r="AJ257" s="325"/>
      <c r="AK257" s="168"/>
      <c r="AL257" s="168"/>
      <c r="AM257" s="168"/>
      <c r="AN257" s="168"/>
      <c r="AO257" s="325"/>
      <c r="AP257" s="168"/>
      <c r="AQ257" s="168"/>
      <c r="AR257" s="168"/>
      <c r="AS257" s="168"/>
      <c r="AT257" s="325"/>
      <c r="AU257" s="168"/>
      <c r="AV257" s="168">
        <v>0.06</v>
      </c>
      <c r="AW257" s="579">
        <v>0.06</v>
      </c>
      <c r="AX257" s="168"/>
      <c r="AY257" s="325"/>
      <c r="AZ257" s="168"/>
      <c r="BA257" s="168"/>
      <c r="BB257" s="168"/>
      <c r="BC257" s="168"/>
      <c r="BD257" s="325"/>
      <c r="BE257" s="325"/>
      <c r="BF257" s="325"/>
      <c r="BG257" s="325"/>
      <c r="BH257" s="67"/>
    </row>
    <row r="258" spans="1:60" s="416" customFormat="1" hidden="1" outlineLevel="1" x14ac:dyDescent="0.25">
      <c r="A258" s="798" t="s">
        <v>733</v>
      </c>
      <c r="B258" s="496"/>
      <c r="C258" s="325"/>
      <c r="D258" s="325"/>
      <c r="E258" s="325"/>
      <c r="F258" s="325"/>
      <c r="G258" s="168"/>
      <c r="H258" s="168"/>
      <c r="I258" s="168"/>
      <c r="J258" s="168"/>
      <c r="K258" s="325"/>
      <c r="L258" s="168"/>
      <c r="M258" s="168"/>
      <c r="N258" s="168"/>
      <c r="O258" s="168"/>
      <c r="P258" s="325"/>
      <c r="Q258" s="168"/>
      <c r="R258" s="168"/>
      <c r="S258" s="168"/>
      <c r="T258" s="168"/>
      <c r="U258" s="325"/>
      <c r="V258" s="168"/>
      <c r="W258" s="168"/>
      <c r="X258" s="168"/>
      <c r="Y258" s="168"/>
      <c r="Z258" s="325"/>
      <c r="AA258" s="168"/>
      <c r="AB258" s="168"/>
      <c r="AC258" s="168"/>
      <c r="AD258" s="168"/>
      <c r="AE258" s="325"/>
      <c r="AF258" s="168"/>
      <c r="AG258" s="168"/>
      <c r="AH258" s="168"/>
      <c r="AI258" s="168"/>
      <c r="AJ258" s="325"/>
      <c r="AK258" s="168"/>
      <c r="AL258" s="168"/>
      <c r="AM258" s="168"/>
      <c r="AN258" s="168"/>
      <c r="AO258" s="325"/>
      <c r="AP258" s="168"/>
      <c r="AQ258" s="168"/>
      <c r="AR258" s="168"/>
      <c r="AS258" s="168"/>
      <c r="AT258" s="325"/>
      <c r="AU258" s="168"/>
      <c r="AV258" s="168">
        <v>0.03</v>
      </c>
      <c r="AW258" s="579">
        <v>0.03</v>
      </c>
      <c r="AX258" s="168"/>
      <c r="AY258" s="325"/>
      <c r="AZ258" s="168"/>
      <c r="BA258" s="168"/>
      <c r="BB258" s="168"/>
      <c r="BC258" s="168"/>
      <c r="BD258" s="325"/>
      <c r="BE258" s="325"/>
      <c r="BF258" s="325"/>
      <c r="BG258" s="325"/>
      <c r="BH258" s="67"/>
    </row>
    <row r="259" spans="1:60" s="416" customFormat="1" hidden="1" outlineLevel="1" x14ac:dyDescent="0.25">
      <c r="A259" s="798" t="s">
        <v>734</v>
      </c>
      <c r="B259" s="496"/>
      <c r="C259" s="325"/>
      <c r="D259" s="325"/>
      <c r="E259" s="325"/>
      <c r="F259" s="325"/>
      <c r="G259" s="168"/>
      <c r="H259" s="168"/>
      <c r="I259" s="168"/>
      <c r="J259" s="168"/>
      <c r="K259" s="325"/>
      <c r="L259" s="168"/>
      <c r="M259" s="168"/>
      <c r="N259" s="168"/>
      <c r="O259" s="168"/>
      <c r="P259" s="325"/>
      <c r="Q259" s="168"/>
      <c r="R259" s="168"/>
      <c r="S259" s="168"/>
      <c r="T259" s="168"/>
      <c r="U259" s="325"/>
      <c r="V259" s="168"/>
      <c r="W259" s="168"/>
      <c r="X259" s="168"/>
      <c r="Y259" s="168"/>
      <c r="Z259" s="325"/>
      <c r="AA259" s="168"/>
      <c r="AB259" s="168"/>
      <c r="AC259" s="168"/>
      <c r="AD259" s="168"/>
      <c r="AE259" s="325"/>
      <c r="AF259" s="168"/>
      <c r="AG259" s="168"/>
      <c r="AH259" s="168"/>
      <c r="AI259" s="168"/>
      <c r="AJ259" s="325"/>
      <c r="AK259" s="168"/>
      <c r="AL259" s="168"/>
      <c r="AM259" s="168"/>
      <c r="AN259" s="168"/>
      <c r="AO259" s="325"/>
      <c r="AP259" s="168"/>
      <c r="AQ259" s="168"/>
      <c r="AR259" s="168"/>
      <c r="AS259" s="168"/>
      <c r="AT259" s="325"/>
      <c r="AU259" s="168"/>
      <c r="AV259" s="168">
        <v>0.02</v>
      </c>
      <c r="AW259" s="579">
        <v>0.02</v>
      </c>
      <c r="AX259" s="168"/>
      <c r="AY259" s="325"/>
      <c r="AZ259" s="168"/>
      <c r="BA259" s="168"/>
      <c r="BB259" s="168"/>
      <c r="BC259" s="168"/>
      <c r="BD259" s="325"/>
      <c r="BE259" s="325"/>
      <c r="BF259" s="325"/>
      <c r="BG259" s="325"/>
      <c r="BH259" s="67"/>
    </row>
    <row r="260" spans="1:60" s="416" customFormat="1" hidden="1" outlineLevel="1" x14ac:dyDescent="0.25">
      <c r="A260" s="798" t="s">
        <v>735</v>
      </c>
      <c r="B260" s="496"/>
      <c r="C260" s="325"/>
      <c r="D260" s="325"/>
      <c r="E260" s="325"/>
      <c r="F260" s="325"/>
      <c r="G260" s="168"/>
      <c r="H260" s="168"/>
      <c r="I260" s="168"/>
      <c r="J260" s="168"/>
      <c r="K260" s="325"/>
      <c r="L260" s="168"/>
      <c r="M260" s="168"/>
      <c r="N260" s="168"/>
      <c r="O260" s="168"/>
      <c r="P260" s="325"/>
      <c r="Q260" s="168"/>
      <c r="R260" s="168"/>
      <c r="S260" s="168"/>
      <c r="T260" s="168"/>
      <c r="U260" s="325"/>
      <c r="V260" s="168"/>
      <c r="W260" s="168"/>
      <c r="X260" s="168"/>
      <c r="Y260" s="168"/>
      <c r="Z260" s="325"/>
      <c r="AA260" s="168"/>
      <c r="AB260" s="168"/>
      <c r="AC260" s="168"/>
      <c r="AD260" s="168"/>
      <c r="AE260" s="325"/>
      <c r="AF260" s="168"/>
      <c r="AG260" s="168"/>
      <c r="AH260" s="168"/>
      <c r="AI260" s="168"/>
      <c r="AJ260" s="325"/>
      <c r="AK260" s="168"/>
      <c r="AL260" s="168"/>
      <c r="AM260" s="168"/>
      <c r="AN260" s="168"/>
      <c r="AO260" s="325"/>
      <c r="AP260" s="168"/>
      <c r="AQ260" s="168"/>
      <c r="AR260" s="168"/>
      <c r="AS260" s="168"/>
      <c r="AT260" s="325"/>
      <c r="AU260" s="168"/>
      <c r="AV260" s="168">
        <v>0.02</v>
      </c>
      <c r="AW260" s="579">
        <v>0.01</v>
      </c>
      <c r="AX260" s="168"/>
      <c r="AY260" s="325"/>
      <c r="AZ260" s="168"/>
      <c r="BA260" s="168"/>
      <c r="BB260" s="168"/>
      <c r="BC260" s="168"/>
      <c r="BD260" s="325"/>
      <c r="BE260" s="325"/>
      <c r="BF260" s="325"/>
      <c r="BG260" s="325"/>
      <c r="BH260" s="67"/>
    </row>
    <row r="261" spans="1:60" s="416" customFormat="1" hidden="1" outlineLevel="1" x14ac:dyDescent="0.25">
      <c r="A261" s="799" t="s">
        <v>736</v>
      </c>
      <c r="B261" s="498"/>
      <c r="C261" s="342"/>
      <c r="D261" s="342"/>
      <c r="E261" s="342"/>
      <c r="F261" s="342"/>
      <c r="G261" s="333"/>
      <c r="H261" s="333"/>
      <c r="I261" s="333"/>
      <c r="J261" s="333"/>
      <c r="K261" s="342"/>
      <c r="L261" s="333"/>
      <c r="M261" s="333"/>
      <c r="N261" s="333"/>
      <c r="O261" s="333"/>
      <c r="P261" s="342"/>
      <c r="Q261" s="333"/>
      <c r="R261" s="333"/>
      <c r="S261" s="333"/>
      <c r="T261" s="333"/>
      <c r="U261" s="342"/>
      <c r="V261" s="333"/>
      <c r="W261" s="333"/>
      <c r="X261" s="333"/>
      <c r="Y261" s="333"/>
      <c r="Z261" s="342"/>
      <c r="AA261" s="333"/>
      <c r="AB261" s="333"/>
      <c r="AC261" s="333"/>
      <c r="AD261" s="333"/>
      <c r="AE261" s="342"/>
      <c r="AF261" s="333"/>
      <c r="AG261" s="333"/>
      <c r="AH261" s="333"/>
      <c r="AI261" s="333"/>
      <c r="AJ261" s="342"/>
      <c r="AK261" s="333"/>
      <c r="AL261" s="333"/>
      <c r="AM261" s="333"/>
      <c r="AN261" s="333"/>
      <c r="AO261" s="342"/>
      <c r="AP261" s="333"/>
      <c r="AQ261" s="333"/>
      <c r="AR261" s="333"/>
      <c r="AS261" s="333"/>
      <c r="AT261" s="342"/>
      <c r="AU261" s="333"/>
      <c r="AV261" s="333">
        <v>0.08</v>
      </c>
      <c r="AW261" s="580">
        <v>0.09</v>
      </c>
      <c r="AX261" s="333"/>
      <c r="AY261" s="342"/>
      <c r="AZ261" s="333"/>
      <c r="BA261" s="333"/>
      <c r="BB261" s="333"/>
      <c r="BC261" s="333"/>
      <c r="BD261" s="342"/>
      <c r="BE261" s="342"/>
      <c r="BF261" s="342"/>
      <c r="BG261" s="342"/>
      <c r="BH261" s="67"/>
    </row>
    <row r="262" spans="1:60" s="416" customFormat="1" hidden="1" outlineLevel="1" x14ac:dyDescent="0.25">
      <c r="A262" s="509" t="s">
        <v>737</v>
      </c>
      <c r="B262" s="496"/>
      <c r="C262" s="325"/>
      <c r="D262" s="325"/>
      <c r="E262" s="325"/>
      <c r="F262" s="325"/>
      <c r="G262" s="168"/>
      <c r="H262" s="168"/>
      <c r="I262" s="168"/>
      <c r="J262" s="168"/>
      <c r="K262" s="325"/>
      <c r="L262" s="168"/>
      <c r="M262" s="168"/>
      <c r="N262" s="168"/>
      <c r="O262" s="168"/>
      <c r="P262" s="325"/>
      <c r="Q262" s="168"/>
      <c r="R262" s="168"/>
      <c r="S262" s="168"/>
      <c r="T262" s="168"/>
      <c r="U262" s="325"/>
      <c r="V262" s="168"/>
      <c r="W262" s="168"/>
      <c r="X262" s="168"/>
      <c r="Y262" s="168"/>
      <c r="Z262" s="325"/>
      <c r="AA262" s="168"/>
      <c r="AB262" s="168"/>
      <c r="AC262" s="168"/>
      <c r="AD262" s="168"/>
      <c r="AE262" s="325"/>
      <c r="AF262" s="168"/>
      <c r="AG262" s="168"/>
      <c r="AH262" s="168"/>
      <c r="AI262" s="168"/>
      <c r="AJ262" s="325"/>
      <c r="AK262" s="168"/>
      <c r="AL262" s="168"/>
      <c r="AM262" s="168"/>
      <c r="AN262" s="168"/>
      <c r="AO262" s="325"/>
      <c r="AP262" s="168"/>
      <c r="AQ262" s="168"/>
      <c r="AR262" s="168"/>
      <c r="AS262" s="168"/>
      <c r="AT262" s="325"/>
      <c r="AU262" s="168"/>
      <c r="AV262" s="168">
        <f>SUM(AV256:AV261)</f>
        <v>0.27999999999999997</v>
      </c>
      <c r="AW262" s="579">
        <v>0.28000000000000003</v>
      </c>
      <c r="AX262" s="168"/>
      <c r="AY262" s="325"/>
      <c r="AZ262" s="168"/>
      <c r="BA262" s="168"/>
      <c r="BB262" s="168"/>
      <c r="BC262" s="168"/>
      <c r="BD262" s="325"/>
      <c r="BE262" s="325"/>
      <c r="BF262" s="325"/>
      <c r="BG262" s="325"/>
      <c r="BH262" s="67"/>
    </row>
    <row r="263" spans="1:60" s="416" customFormat="1" hidden="1" outlineLevel="1" x14ac:dyDescent="0.25">
      <c r="A263" s="509" t="s">
        <v>738</v>
      </c>
      <c r="B263" s="496"/>
      <c r="C263" s="325"/>
      <c r="D263" s="325"/>
      <c r="E263" s="325"/>
      <c r="F263" s="325"/>
      <c r="G263" s="168"/>
      <c r="H263" s="168"/>
      <c r="I263" s="168"/>
      <c r="J263" s="168"/>
      <c r="K263" s="325"/>
      <c r="L263" s="168"/>
      <c r="M263" s="168"/>
      <c r="N263" s="168"/>
      <c r="O263" s="168"/>
      <c r="P263" s="325"/>
      <c r="Q263" s="168"/>
      <c r="R263" s="168"/>
      <c r="S263" s="168"/>
      <c r="T263" s="168"/>
      <c r="U263" s="325"/>
      <c r="V263" s="168"/>
      <c r="W263" s="168"/>
      <c r="X263" s="168"/>
      <c r="Y263" s="168"/>
      <c r="Z263" s="325"/>
      <c r="AA263" s="168"/>
      <c r="AB263" s="168"/>
      <c r="AC263" s="168"/>
      <c r="AD263" s="168"/>
      <c r="AE263" s="325"/>
      <c r="AF263" s="168"/>
      <c r="AG263" s="168"/>
      <c r="AH263" s="168"/>
      <c r="AI263" s="168"/>
      <c r="AJ263" s="325"/>
      <c r="AK263" s="168"/>
      <c r="AL263" s="168"/>
      <c r="AM263" s="168"/>
      <c r="AN263" s="168"/>
      <c r="AO263" s="325"/>
      <c r="AP263" s="168"/>
      <c r="AQ263" s="168"/>
      <c r="AR263" s="168"/>
      <c r="AS263" s="168"/>
      <c r="AT263" s="325"/>
      <c r="AU263" s="168"/>
      <c r="AV263" s="168">
        <v>0.23</v>
      </c>
      <c r="AW263" s="579">
        <v>0.26</v>
      </c>
      <c r="AX263" s="168"/>
      <c r="AY263" s="325"/>
      <c r="AZ263" s="168"/>
      <c r="BA263" s="168"/>
      <c r="BB263" s="168"/>
      <c r="BC263" s="168"/>
      <c r="BD263" s="325"/>
      <c r="BE263" s="325"/>
      <c r="BF263" s="325"/>
      <c r="BG263" s="325"/>
      <c r="BH263" s="67"/>
    </row>
    <row r="264" spans="1:60" s="416" customFormat="1" hidden="1" outlineLevel="1" x14ac:dyDescent="0.25">
      <c r="A264" s="509" t="s">
        <v>739</v>
      </c>
      <c r="B264" s="496"/>
      <c r="C264" s="325"/>
      <c r="D264" s="325"/>
      <c r="E264" s="325"/>
      <c r="F264" s="325"/>
      <c r="G264" s="168"/>
      <c r="H264" s="168"/>
      <c r="I264" s="168"/>
      <c r="J264" s="168"/>
      <c r="K264" s="325"/>
      <c r="L264" s="168"/>
      <c r="M264" s="168"/>
      <c r="N264" s="168"/>
      <c r="O264" s="168"/>
      <c r="P264" s="325"/>
      <c r="Q264" s="168"/>
      <c r="R264" s="168"/>
      <c r="S264" s="168"/>
      <c r="T264" s="168"/>
      <c r="U264" s="325"/>
      <c r="V264" s="168"/>
      <c r="W264" s="168"/>
      <c r="X264" s="168"/>
      <c r="Y264" s="168"/>
      <c r="Z264" s="325"/>
      <c r="AA264" s="168"/>
      <c r="AB264" s="168"/>
      <c r="AC264" s="168"/>
      <c r="AD264" s="168"/>
      <c r="AE264" s="325"/>
      <c r="AF264" s="168"/>
      <c r="AG264" s="168"/>
      <c r="AH264" s="168"/>
      <c r="AI264" s="168"/>
      <c r="AJ264" s="325"/>
      <c r="AK264" s="168"/>
      <c r="AL264" s="168"/>
      <c r="AM264" s="168"/>
      <c r="AN264" s="168"/>
      <c r="AO264" s="325"/>
      <c r="AP264" s="168"/>
      <c r="AQ264" s="168"/>
      <c r="AR264" s="168"/>
      <c r="AS264" s="168"/>
      <c r="AT264" s="325"/>
      <c r="AU264" s="168"/>
      <c r="AV264" s="168">
        <v>0.4</v>
      </c>
      <c r="AW264" s="579">
        <v>0.38</v>
      </c>
      <c r="AX264" s="168"/>
      <c r="AY264" s="325"/>
      <c r="AZ264" s="168"/>
      <c r="BA264" s="168"/>
      <c r="BB264" s="168"/>
      <c r="BC264" s="168"/>
      <c r="BD264" s="325"/>
      <c r="BE264" s="325"/>
      <c r="BF264" s="325"/>
      <c r="BG264" s="325"/>
      <c r="BH264" s="67"/>
    </row>
    <row r="265" spans="1:60" s="416" customFormat="1" hidden="1" outlineLevel="1" x14ac:dyDescent="0.25">
      <c r="A265" s="677" t="s">
        <v>740</v>
      </c>
      <c r="B265" s="498"/>
      <c r="C265" s="342"/>
      <c r="D265" s="342"/>
      <c r="E265" s="342"/>
      <c r="F265" s="342"/>
      <c r="G265" s="333"/>
      <c r="H265" s="333"/>
      <c r="I265" s="333"/>
      <c r="J265" s="333"/>
      <c r="K265" s="342"/>
      <c r="L265" s="333"/>
      <c r="M265" s="333"/>
      <c r="N265" s="333"/>
      <c r="O265" s="333"/>
      <c r="P265" s="342"/>
      <c r="Q265" s="333"/>
      <c r="R265" s="333"/>
      <c r="S265" s="333"/>
      <c r="T265" s="333"/>
      <c r="U265" s="342"/>
      <c r="V265" s="333"/>
      <c r="W265" s="333"/>
      <c r="X265" s="333"/>
      <c r="Y265" s="333"/>
      <c r="Z265" s="342"/>
      <c r="AA265" s="333"/>
      <c r="AB265" s="333"/>
      <c r="AC265" s="333"/>
      <c r="AD265" s="333"/>
      <c r="AE265" s="342"/>
      <c r="AF265" s="333"/>
      <c r="AG265" s="333"/>
      <c r="AH265" s="333"/>
      <c r="AI265" s="333"/>
      <c r="AJ265" s="342"/>
      <c r="AK265" s="333"/>
      <c r="AL265" s="333"/>
      <c r="AM265" s="333"/>
      <c r="AN265" s="333"/>
      <c r="AO265" s="342"/>
      <c r="AP265" s="333"/>
      <c r="AQ265" s="333"/>
      <c r="AR265" s="333"/>
      <c r="AS265" s="333"/>
      <c r="AT265" s="342"/>
      <c r="AU265" s="333"/>
      <c r="AV265" s="333">
        <v>0.09</v>
      </c>
      <c r="AW265" s="580">
        <v>0.08</v>
      </c>
      <c r="AX265" s="333"/>
      <c r="AY265" s="342"/>
      <c r="AZ265" s="333"/>
      <c r="BA265" s="333"/>
      <c r="BB265" s="333"/>
      <c r="BC265" s="333"/>
      <c r="BD265" s="342"/>
      <c r="BE265" s="342"/>
      <c r="BF265" s="342"/>
      <c r="BG265" s="342"/>
      <c r="BH265" s="67"/>
    </row>
    <row r="266" spans="1:60" s="735" customFormat="1" hidden="1" outlineLevel="1" x14ac:dyDescent="0.25">
      <c r="A266" s="678" t="s">
        <v>729</v>
      </c>
      <c r="B266" s="679"/>
      <c r="C266" s="98"/>
      <c r="D266" s="98"/>
      <c r="E266" s="98"/>
      <c r="F266" s="98"/>
      <c r="G266" s="370"/>
      <c r="H266" s="370"/>
      <c r="I266" s="370"/>
      <c r="J266" s="370"/>
      <c r="K266" s="98"/>
      <c r="L266" s="370"/>
      <c r="M266" s="370"/>
      <c r="N266" s="370"/>
      <c r="O266" s="370"/>
      <c r="P266" s="98"/>
      <c r="Q266" s="370"/>
      <c r="R266" s="370"/>
      <c r="S266" s="370"/>
      <c r="T266" s="370"/>
      <c r="U266" s="98"/>
      <c r="V266" s="370"/>
      <c r="W266" s="370"/>
      <c r="X266" s="370"/>
      <c r="Y266" s="370"/>
      <c r="Z266" s="98"/>
      <c r="AA266" s="370"/>
      <c r="AB266" s="370"/>
      <c r="AC266" s="370"/>
      <c r="AD266" s="370"/>
      <c r="AE266" s="98"/>
      <c r="AF266" s="370"/>
      <c r="AG266" s="370"/>
      <c r="AH266" s="370"/>
      <c r="AI266" s="370"/>
      <c r="AJ266" s="98"/>
      <c r="AK266" s="370"/>
      <c r="AL266" s="370"/>
      <c r="AM266" s="370"/>
      <c r="AN266" s="370"/>
      <c r="AO266" s="98"/>
      <c r="AP266" s="370"/>
      <c r="AQ266" s="370"/>
      <c r="AR266" s="370"/>
      <c r="AS266" s="370"/>
      <c r="AT266" s="98"/>
      <c r="AU266" s="370"/>
      <c r="AV266" s="370">
        <f>SUM(AV262:AV265)</f>
        <v>1</v>
      </c>
      <c r="AW266" s="680">
        <f>SUM(AW262:AW265)</f>
        <v>1</v>
      </c>
      <c r="AX266" s="370"/>
      <c r="AY266" s="98"/>
      <c r="AZ266" s="370"/>
      <c r="BA266" s="370"/>
      <c r="BB266" s="370"/>
      <c r="BC266" s="370"/>
      <c r="BD266" s="98"/>
      <c r="BE266" s="98"/>
      <c r="BF266" s="98"/>
      <c r="BG266" s="98"/>
      <c r="BH266" s="70"/>
    </row>
    <row r="267" spans="1:60" s="57" customFormat="1" collapsed="1" x14ac:dyDescent="0.25">
      <c r="A267" s="495"/>
      <c r="B267" s="442"/>
      <c r="C267" s="864"/>
      <c r="D267" s="864"/>
      <c r="E267" s="864"/>
      <c r="F267" s="864"/>
      <c r="G267" s="867"/>
      <c r="H267" s="867"/>
      <c r="I267" s="867"/>
      <c r="J267" s="867"/>
      <c r="K267" s="864"/>
      <c r="L267" s="867"/>
      <c r="M267" s="867"/>
      <c r="N267" s="867"/>
      <c r="O267" s="867"/>
      <c r="P267" s="864"/>
      <c r="Q267" s="867"/>
      <c r="R267" s="867"/>
      <c r="S267" s="867"/>
      <c r="T267" s="867"/>
      <c r="U267" s="864"/>
      <c r="V267" s="867"/>
      <c r="W267" s="867"/>
      <c r="X267" s="867"/>
      <c r="Y267" s="867"/>
      <c r="Z267" s="864"/>
      <c r="AA267" s="867"/>
      <c r="AB267" s="867"/>
      <c r="AC267" s="867"/>
      <c r="AD267" s="867"/>
      <c r="AE267" s="864"/>
      <c r="AF267" s="867"/>
      <c r="AG267" s="867"/>
      <c r="AH267" s="867"/>
      <c r="AI267" s="867"/>
      <c r="AJ267" s="864"/>
      <c r="AK267" s="867"/>
      <c r="AL267" s="867"/>
      <c r="AM267" s="867"/>
      <c r="AN267" s="867"/>
      <c r="AO267" s="864"/>
      <c r="AP267" s="867"/>
      <c r="AQ267" s="867"/>
      <c r="AR267" s="867"/>
      <c r="AS267" s="867"/>
      <c r="AT267" s="864"/>
      <c r="AU267" s="867"/>
      <c r="AV267" s="867"/>
      <c r="AW267" s="868"/>
      <c r="AX267" s="867"/>
      <c r="AY267" s="864"/>
      <c r="AZ267" s="867"/>
      <c r="BA267" s="867"/>
      <c r="BB267" s="867"/>
      <c r="BC267" s="867"/>
      <c r="BD267" s="864"/>
      <c r="BE267" s="864"/>
      <c r="BF267" s="864"/>
      <c r="BG267" s="864"/>
      <c r="BH267" s="821"/>
    </row>
    <row r="268" spans="1:60" customFormat="1" x14ac:dyDescent="0.25">
      <c r="A268" s="368" t="s">
        <v>435</v>
      </c>
      <c r="B268" s="829"/>
      <c r="C268" s="861"/>
      <c r="D268" s="861"/>
      <c r="E268" s="861"/>
      <c r="F268" s="861"/>
      <c r="G268" s="861"/>
      <c r="H268" s="861"/>
      <c r="I268" s="861"/>
      <c r="J268" s="861"/>
      <c r="K268" s="861"/>
      <c r="L268" s="861"/>
      <c r="M268" s="861"/>
      <c r="N268" s="861"/>
      <c r="O268" s="861"/>
      <c r="P268" s="861"/>
      <c r="Q268" s="861"/>
      <c r="R268" s="861"/>
      <c r="S268" s="861"/>
      <c r="T268" s="861"/>
      <c r="U268" s="861"/>
      <c r="V268" s="861"/>
      <c r="W268" s="861"/>
      <c r="X268" s="861"/>
      <c r="Y268" s="861"/>
      <c r="Z268" s="861"/>
      <c r="AA268" s="861"/>
      <c r="AB268" s="861"/>
      <c r="AC268" s="861"/>
      <c r="AD268" s="861"/>
      <c r="AE268" s="861"/>
      <c r="AF268" s="861"/>
      <c r="AG268" s="861"/>
      <c r="AH268" s="861"/>
      <c r="AI268" s="861"/>
      <c r="AJ268" s="861"/>
      <c r="AK268" s="861"/>
      <c r="AL268" s="861"/>
      <c r="AM268" s="861"/>
      <c r="AN268" s="861"/>
      <c r="AO268" s="861"/>
      <c r="AP268" s="861"/>
      <c r="AQ268" s="861"/>
      <c r="AR268" s="861"/>
      <c r="AS268" s="861"/>
      <c r="AT268" s="861"/>
      <c r="AU268" s="861"/>
      <c r="AV268" s="861"/>
      <c r="AW268" s="862"/>
      <c r="AX268" s="890"/>
      <c r="AY268" s="890"/>
      <c r="AZ268" s="890"/>
      <c r="BA268" s="890"/>
      <c r="BB268" s="890"/>
      <c r="BC268" s="890"/>
      <c r="BD268" s="890"/>
      <c r="BE268" s="890"/>
      <c r="BF268" s="890"/>
      <c r="BG268" s="890"/>
      <c r="BH268" s="369"/>
    </row>
    <row r="269" spans="1:60" s="57" customFormat="1" hidden="1" outlineLevel="1" x14ac:dyDescent="0.25">
      <c r="A269" s="63" t="s">
        <v>484</v>
      </c>
      <c r="B269" s="493"/>
      <c r="C269" s="874"/>
      <c r="D269" s="874"/>
      <c r="E269" s="874"/>
      <c r="F269" s="874"/>
      <c r="G269" s="879"/>
      <c r="H269" s="879"/>
      <c r="I269" s="879"/>
      <c r="J269" s="879"/>
      <c r="K269" s="874"/>
      <c r="L269" s="879"/>
      <c r="M269" s="879"/>
      <c r="N269" s="879"/>
      <c r="O269" s="879"/>
      <c r="P269" s="874"/>
      <c r="Q269" s="879"/>
      <c r="R269" s="879"/>
      <c r="S269" s="879"/>
      <c r="T269" s="879"/>
      <c r="U269" s="874"/>
      <c r="V269" s="879"/>
      <c r="W269" s="879"/>
      <c r="X269" s="879"/>
      <c r="Y269" s="879"/>
      <c r="Z269" s="874"/>
      <c r="AA269" s="879"/>
      <c r="AB269" s="879"/>
      <c r="AC269" s="879"/>
      <c r="AD269" s="879"/>
      <c r="AE269" s="874"/>
      <c r="AF269" s="879"/>
      <c r="AG269" s="879"/>
      <c r="AH269" s="879"/>
      <c r="AI269" s="879"/>
      <c r="AJ269" s="874"/>
      <c r="AK269" s="879"/>
      <c r="AL269" s="879"/>
      <c r="AM269" s="879"/>
      <c r="AN269" s="879"/>
      <c r="AO269" s="875">
        <f>'Supplemental Data'!AJ38</f>
        <v>9967.5380000000005</v>
      </c>
      <c r="AP269" s="876">
        <f>'Supplemental Data'!AK38</f>
        <v>2870.614</v>
      </c>
      <c r="AQ269" s="876">
        <f>'Supplemental Data'!AL38</f>
        <v>3005.6570000000006</v>
      </c>
      <c r="AR269" s="876">
        <f>'Supplemental Data'!AM38</f>
        <v>3097.9190000000003</v>
      </c>
      <c r="AS269" s="879"/>
      <c r="AT269" s="875">
        <f>'Supplemental Data'!AO38</f>
        <v>12440.213000000002</v>
      </c>
      <c r="AU269" s="879">
        <f>AP337</f>
        <v>3599.701</v>
      </c>
      <c r="AV269" s="879">
        <f>AQ337</f>
        <v>3643.7069999999999</v>
      </c>
      <c r="AW269" s="880">
        <f>AR337</f>
        <v>3867.7510000000002</v>
      </c>
      <c r="AX269" s="879"/>
      <c r="AY269" s="874"/>
      <c r="AZ269" s="879"/>
      <c r="BA269" s="879"/>
      <c r="BB269" s="879"/>
      <c r="BC269" s="879"/>
      <c r="BD269" s="874"/>
      <c r="BE269" s="874"/>
      <c r="BF269" s="874"/>
      <c r="BG269" s="874"/>
      <c r="BH269" s="821"/>
    </row>
    <row r="270" spans="1:60" s="57" customFormat="1" hidden="1" outlineLevel="1" x14ac:dyDescent="0.25">
      <c r="A270" s="367" t="s">
        <v>485</v>
      </c>
      <c r="B270" s="442"/>
      <c r="C270" s="864"/>
      <c r="D270" s="864"/>
      <c r="E270" s="864"/>
      <c r="F270" s="864"/>
      <c r="G270" s="867"/>
      <c r="H270" s="867"/>
      <c r="I270" s="867"/>
      <c r="J270" s="867"/>
      <c r="K270" s="864"/>
      <c r="L270" s="867"/>
      <c r="M270" s="867"/>
      <c r="N270" s="867"/>
      <c r="O270" s="867"/>
      <c r="P270" s="864"/>
      <c r="Q270" s="867"/>
      <c r="R270" s="867"/>
      <c r="S270" s="867"/>
      <c r="T270" s="867"/>
      <c r="U270" s="864"/>
      <c r="V270" s="867"/>
      <c r="W270" s="867"/>
      <c r="X270" s="867"/>
      <c r="Y270" s="867"/>
      <c r="Z270" s="864"/>
      <c r="AA270" s="867"/>
      <c r="AB270" s="867"/>
      <c r="AC270" s="867"/>
      <c r="AD270" s="867"/>
      <c r="AE270" s="864"/>
      <c r="AF270" s="867"/>
      <c r="AG270" s="867"/>
      <c r="AH270" s="867"/>
      <c r="AI270" s="867"/>
      <c r="AJ270" s="864"/>
      <c r="AK270" s="867"/>
      <c r="AL270" s="867"/>
      <c r="AM270" s="867"/>
      <c r="AN270" s="867"/>
      <c r="AO270" s="865">
        <v>1684</v>
      </c>
      <c r="AP270" s="866">
        <v>359</v>
      </c>
      <c r="AQ270" s="866">
        <v>375</v>
      </c>
      <c r="AR270" s="866">
        <v>454</v>
      </c>
      <c r="AS270" s="867"/>
      <c r="AT270" s="865">
        <v>1591</v>
      </c>
      <c r="AU270" s="867">
        <v>236</v>
      </c>
      <c r="AV270" s="867">
        <v>200</v>
      </c>
      <c r="AW270" s="868">
        <v>229</v>
      </c>
      <c r="AX270" s="867"/>
      <c r="AY270" s="864"/>
      <c r="AZ270" s="867"/>
      <c r="BA270" s="867"/>
      <c r="BB270" s="867"/>
      <c r="BC270" s="867"/>
      <c r="BD270" s="864"/>
      <c r="BE270" s="864"/>
      <c r="BF270" s="864"/>
      <c r="BG270" s="864"/>
      <c r="BH270" s="821"/>
    </row>
    <row r="271" spans="1:60" s="57" customFormat="1" hidden="1" outlineLevel="1" x14ac:dyDescent="0.25">
      <c r="A271" s="367" t="s">
        <v>514</v>
      </c>
      <c r="B271" s="442"/>
      <c r="C271" s="864"/>
      <c r="D271" s="864"/>
      <c r="E271" s="864"/>
      <c r="F271" s="864"/>
      <c r="G271" s="867"/>
      <c r="H271" s="867"/>
      <c r="I271" s="867"/>
      <c r="J271" s="867"/>
      <c r="K271" s="864"/>
      <c r="L271" s="867"/>
      <c r="M271" s="867"/>
      <c r="N271" s="867"/>
      <c r="O271" s="867"/>
      <c r="P271" s="864"/>
      <c r="Q271" s="867"/>
      <c r="R271" s="867"/>
      <c r="S271" s="867"/>
      <c r="T271" s="867"/>
      <c r="U271" s="864"/>
      <c r="V271" s="867"/>
      <c r="W271" s="867"/>
      <c r="X271" s="867"/>
      <c r="Y271" s="867"/>
      <c r="Z271" s="864"/>
      <c r="AA271" s="867"/>
      <c r="AB271" s="867"/>
      <c r="AC271" s="867"/>
      <c r="AD271" s="867"/>
      <c r="AE271" s="864"/>
      <c r="AF271" s="867"/>
      <c r="AG271" s="867"/>
      <c r="AH271" s="867"/>
      <c r="AI271" s="867"/>
      <c r="AJ271" s="864"/>
      <c r="AK271" s="867"/>
      <c r="AL271" s="867"/>
      <c r="AM271" s="867"/>
      <c r="AN271" s="867"/>
      <c r="AO271" s="864"/>
      <c r="AP271" s="866">
        <v>218</v>
      </c>
      <c r="AQ271" s="867"/>
      <c r="AR271" s="867"/>
      <c r="AS271" s="867"/>
      <c r="AT271" s="864"/>
      <c r="AU271" s="867"/>
      <c r="AV271" s="867"/>
      <c r="AW271" s="868"/>
      <c r="AX271" s="867"/>
      <c r="AY271" s="864"/>
      <c r="AZ271" s="867"/>
      <c r="BA271" s="867"/>
      <c r="BB271" s="867"/>
      <c r="BC271" s="867"/>
      <c r="BD271" s="864"/>
      <c r="BE271" s="864"/>
      <c r="BF271" s="864"/>
      <c r="BG271" s="864"/>
      <c r="BH271" s="821"/>
    </row>
    <row r="272" spans="1:60" s="57" customFormat="1" hidden="1" outlineLevel="1" x14ac:dyDescent="0.25">
      <c r="A272" s="367" t="s">
        <v>567</v>
      </c>
      <c r="B272" s="442"/>
      <c r="C272" s="864"/>
      <c r="D272" s="864"/>
      <c r="E272" s="864"/>
      <c r="F272" s="864"/>
      <c r="G272" s="867"/>
      <c r="H272" s="867"/>
      <c r="I272" s="867"/>
      <c r="J272" s="867"/>
      <c r="K272" s="864"/>
      <c r="L272" s="867"/>
      <c r="M272" s="867"/>
      <c r="N272" s="867"/>
      <c r="O272" s="867"/>
      <c r="P272" s="864"/>
      <c r="Q272" s="867"/>
      <c r="R272" s="867"/>
      <c r="S272" s="867"/>
      <c r="T272" s="867"/>
      <c r="U272" s="864"/>
      <c r="V272" s="867"/>
      <c r="W272" s="867"/>
      <c r="X272" s="867"/>
      <c r="Y272" s="867"/>
      <c r="Z272" s="864"/>
      <c r="AA272" s="867"/>
      <c r="AB272" s="867"/>
      <c r="AC272" s="867"/>
      <c r="AD272" s="867"/>
      <c r="AE272" s="864"/>
      <c r="AF272" s="867"/>
      <c r="AG272" s="867"/>
      <c r="AH272" s="867"/>
      <c r="AI272" s="867"/>
      <c r="AJ272" s="864"/>
      <c r="AK272" s="867"/>
      <c r="AL272" s="867"/>
      <c r="AM272" s="867"/>
      <c r="AN272" s="867"/>
      <c r="AO272" s="864"/>
      <c r="AP272" s="867"/>
      <c r="AQ272" s="866">
        <v>201</v>
      </c>
      <c r="AR272" s="866">
        <v>277</v>
      </c>
      <c r="AS272" s="867"/>
      <c r="AT272" s="865">
        <v>1101</v>
      </c>
      <c r="AU272" s="867"/>
      <c r="AV272" s="867"/>
      <c r="AW272" s="868"/>
      <c r="AX272" s="867"/>
      <c r="AY272" s="864"/>
      <c r="AZ272" s="867"/>
      <c r="BA272" s="867"/>
      <c r="BB272" s="867"/>
      <c r="BC272" s="867"/>
      <c r="BD272" s="864"/>
      <c r="BE272" s="864"/>
      <c r="BF272" s="864"/>
      <c r="BG272" s="864"/>
      <c r="BH272" s="821"/>
    </row>
    <row r="273" spans="1:60" s="57" customFormat="1" hidden="1" outlineLevel="1" x14ac:dyDescent="0.25">
      <c r="A273" s="367" t="s">
        <v>573</v>
      </c>
      <c r="B273" s="442"/>
      <c r="C273" s="864"/>
      <c r="D273" s="864"/>
      <c r="E273" s="864"/>
      <c r="F273" s="864"/>
      <c r="G273" s="867"/>
      <c r="H273" s="867"/>
      <c r="I273" s="867"/>
      <c r="J273" s="867"/>
      <c r="K273" s="864"/>
      <c r="L273" s="867"/>
      <c r="M273" s="867"/>
      <c r="N273" s="867"/>
      <c r="O273" s="867"/>
      <c r="P273" s="864"/>
      <c r="Q273" s="867"/>
      <c r="R273" s="867"/>
      <c r="S273" s="867"/>
      <c r="T273" s="867"/>
      <c r="U273" s="864"/>
      <c r="V273" s="867"/>
      <c r="W273" s="867"/>
      <c r="X273" s="867"/>
      <c r="Y273" s="867"/>
      <c r="Z273" s="864"/>
      <c r="AA273" s="867"/>
      <c r="AB273" s="867"/>
      <c r="AC273" s="867"/>
      <c r="AD273" s="867"/>
      <c r="AE273" s="864"/>
      <c r="AF273" s="867"/>
      <c r="AG273" s="867"/>
      <c r="AH273" s="867"/>
      <c r="AI273" s="867"/>
      <c r="AJ273" s="864"/>
      <c r="AK273" s="867"/>
      <c r="AL273" s="867"/>
      <c r="AM273" s="867"/>
      <c r="AN273" s="867"/>
      <c r="AO273" s="864"/>
      <c r="AP273" s="867"/>
      <c r="AQ273" s="867"/>
      <c r="AR273" s="867"/>
      <c r="AS273" s="867"/>
      <c r="AT273" s="864"/>
      <c r="AU273" s="867">
        <v>33</v>
      </c>
      <c r="AV273" s="867"/>
      <c r="AW273" s="868"/>
      <c r="AX273" s="867"/>
      <c r="AY273" s="864"/>
      <c r="AZ273" s="867"/>
      <c r="BA273" s="867"/>
      <c r="BB273" s="867"/>
      <c r="BC273" s="867"/>
      <c r="BD273" s="864"/>
      <c r="BE273" s="864"/>
      <c r="BF273" s="864"/>
      <c r="BG273" s="864"/>
      <c r="BH273" s="821"/>
    </row>
    <row r="274" spans="1:60" s="57" customFormat="1" hidden="1" outlineLevel="1" x14ac:dyDescent="0.25">
      <c r="A274" s="367" t="s">
        <v>486</v>
      </c>
      <c r="B274" s="442"/>
      <c r="C274" s="864"/>
      <c r="D274" s="864"/>
      <c r="E274" s="864"/>
      <c r="F274" s="864"/>
      <c r="G274" s="867"/>
      <c r="H274" s="867"/>
      <c r="I274" s="867"/>
      <c r="J274" s="867"/>
      <c r="K274" s="864"/>
      <c r="L274" s="867"/>
      <c r="M274" s="867"/>
      <c r="N274" s="867"/>
      <c r="O274" s="867"/>
      <c r="P274" s="864"/>
      <c r="Q274" s="867"/>
      <c r="R274" s="867"/>
      <c r="S274" s="867"/>
      <c r="T274" s="867"/>
      <c r="U274" s="864"/>
      <c r="V274" s="867"/>
      <c r="W274" s="867"/>
      <c r="X274" s="867"/>
      <c r="Y274" s="867"/>
      <c r="Z274" s="864"/>
      <c r="AA274" s="867"/>
      <c r="AB274" s="867"/>
      <c r="AC274" s="867"/>
      <c r="AD274" s="867"/>
      <c r="AE274" s="864"/>
      <c r="AF274" s="867"/>
      <c r="AG274" s="867"/>
      <c r="AH274" s="867"/>
      <c r="AI274" s="867"/>
      <c r="AJ274" s="864"/>
      <c r="AK274" s="867"/>
      <c r="AL274" s="867"/>
      <c r="AM274" s="867"/>
      <c r="AN274" s="867"/>
      <c r="AO274" s="865">
        <v>789</v>
      </c>
      <c r="AP274" s="866">
        <v>152</v>
      </c>
      <c r="AQ274" s="867"/>
      <c r="AR274" s="867"/>
      <c r="AS274" s="867"/>
      <c r="AT274" s="864"/>
      <c r="AU274" s="867"/>
      <c r="AV274" s="867">
        <v>174</v>
      </c>
      <c r="AW274" s="868">
        <v>110</v>
      </c>
      <c r="AX274" s="867"/>
      <c r="AY274" s="864"/>
      <c r="AZ274" s="867"/>
      <c r="BA274" s="867"/>
      <c r="BB274" s="867"/>
      <c r="BC274" s="867"/>
      <c r="BD274" s="864"/>
      <c r="BE274" s="864"/>
      <c r="BF274" s="864"/>
      <c r="BG274" s="864"/>
      <c r="BH274" s="821"/>
    </row>
    <row r="275" spans="1:60" s="57" customFormat="1" hidden="1" outlineLevel="1" x14ac:dyDescent="0.25">
      <c r="A275" s="367" t="s">
        <v>487</v>
      </c>
      <c r="B275" s="442"/>
      <c r="C275" s="864"/>
      <c r="D275" s="864"/>
      <c r="E275" s="864"/>
      <c r="F275" s="864"/>
      <c r="G275" s="867"/>
      <c r="H275" s="867"/>
      <c r="I275" s="867"/>
      <c r="J275" s="867"/>
      <c r="K275" s="864"/>
      <c r="L275" s="867"/>
      <c r="M275" s="867"/>
      <c r="N275" s="867"/>
      <c r="O275" s="867"/>
      <c r="P275" s="864"/>
      <c r="Q275" s="867"/>
      <c r="R275" s="867"/>
      <c r="S275" s="867"/>
      <c r="T275" s="867"/>
      <c r="U275" s="864"/>
      <c r="V275" s="867"/>
      <c r="W275" s="867"/>
      <c r="X275" s="867"/>
      <c r="Y275" s="867"/>
      <c r="Z275" s="864"/>
      <c r="AA275" s="867"/>
      <c r="AB275" s="867"/>
      <c r="AC275" s="867"/>
      <c r="AD275" s="867"/>
      <c r="AE275" s="864"/>
      <c r="AF275" s="867"/>
      <c r="AG275" s="867"/>
      <c r="AH275" s="867"/>
      <c r="AI275" s="867"/>
      <c r="AJ275" s="864"/>
      <c r="AK275" s="867"/>
      <c r="AL275" s="867"/>
      <c r="AM275" s="867"/>
      <c r="AN275" s="867"/>
      <c r="AO275" s="865">
        <f>AO276-SUM(AO269:AO274)</f>
        <v>-0.3250000000007276</v>
      </c>
      <c r="AP275" s="866">
        <f>AP276-SUM(AP269:AP274)</f>
        <v>8.6999999999989086E-2</v>
      </c>
      <c r="AQ275" s="866">
        <f>AQ276-SUM(AQ269:AQ274)</f>
        <v>62.049999999999272</v>
      </c>
      <c r="AR275" s="866">
        <f>AR276-SUM(AR269:AR274)</f>
        <v>38.83199999999988</v>
      </c>
      <c r="AS275" s="867"/>
      <c r="AT275" s="865">
        <f>AT276-SUM(AT269:AT274)</f>
        <v>144.10599999999795</v>
      </c>
      <c r="AU275" s="867">
        <f>AU276-SUM(AU269:AU274)</f>
        <v>-0.19000000000005457</v>
      </c>
      <c r="AV275" s="867">
        <f>AV276-SUM(AV269:AV274)</f>
        <v>0.30099999999993088</v>
      </c>
      <c r="AW275" s="868">
        <f>AW276-SUM(AW269:AW274)</f>
        <v>-0.16200000000026193</v>
      </c>
      <c r="AX275" s="867"/>
      <c r="AY275" s="864"/>
      <c r="AZ275" s="867"/>
      <c r="BA275" s="867"/>
      <c r="BB275" s="867"/>
      <c r="BC275" s="867"/>
      <c r="BD275" s="864"/>
      <c r="BE275" s="864"/>
      <c r="BF275" s="864"/>
      <c r="BG275" s="864"/>
      <c r="BH275" s="821"/>
    </row>
    <row r="276" spans="1:60" s="57" customFormat="1" hidden="1" outlineLevel="1" x14ac:dyDescent="0.25">
      <c r="A276" s="61" t="s">
        <v>488</v>
      </c>
      <c r="B276" s="492"/>
      <c r="C276" s="869"/>
      <c r="D276" s="869"/>
      <c r="E276" s="869"/>
      <c r="F276" s="869"/>
      <c r="G276" s="870"/>
      <c r="H276" s="870"/>
      <c r="I276" s="870"/>
      <c r="J276" s="870"/>
      <c r="K276" s="869"/>
      <c r="L276" s="870"/>
      <c r="M276" s="870"/>
      <c r="N276" s="870"/>
      <c r="O276" s="870"/>
      <c r="P276" s="869"/>
      <c r="Q276" s="870"/>
      <c r="R276" s="870"/>
      <c r="S276" s="870"/>
      <c r="T276" s="870"/>
      <c r="U276" s="869"/>
      <c r="V276" s="870"/>
      <c r="W276" s="870"/>
      <c r="X276" s="870"/>
      <c r="Y276" s="870"/>
      <c r="Z276" s="869"/>
      <c r="AA276" s="870"/>
      <c r="AB276" s="870"/>
      <c r="AC276" s="870"/>
      <c r="AD276" s="870"/>
      <c r="AE276" s="869"/>
      <c r="AF276" s="870"/>
      <c r="AG276" s="870"/>
      <c r="AH276" s="870"/>
      <c r="AI276" s="870"/>
      <c r="AJ276" s="869"/>
      <c r="AK276" s="870"/>
      <c r="AL276" s="870"/>
      <c r="AM276" s="870"/>
      <c r="AN276" s="870"/>
      <c r="AO276" s="872">
        <f>AO337</f>
        <v>12440.213</v>
      </c>
      <c r="AP276" s="871">
        <f>AP337</f>
        <v>3599.701</v>
      </c>
      <c r="AQ276" s="871">
        <f>AQ337</f>
        <v>3643.7069999999999</v>
      </c>
      <c r="AR276" s="871">
        <f>AR337</f>
        <v>3867.7510000000002</v>
      </c>
      <c r="AS276" s="870"/>
      <c r="AT276" s="872">
        <f t="shared" ref="AT276:AU276" si="192">AT337</f>
        <v>15276.319</v>
      </c>
      <c r="AU276" s="870">
        <f t="shared" si="192"/>
        <v>3868.511</v>
      </c>
      <c r="AV276" s="870">
        <f t="shared" ref="AV276:AW276" si="193">AV337</f>
        <v>4018.0079999999998</v>
      </c>
      <c r="AW276" s="887">
        <f t="shared" si="193"/>
        <v>4206.5889999999999</v>
      </c>
      <c r="AX276" s="870"/>
      <c r="AY276" s="869"/>
      <c r="AZ276" s="870"/>
      <c r="BA276" s="870"/>
      <c r="BB276" s="870"/>
      <c r="BC276" s="870"/>
      <c r="BD276" s="869"/>
      <c r="BE276" s="869"/>
      <c r="BF276" s="869"/>
      <c r="BG276" s="869"/>
      <c r="BH276" s="821"/>
    </row>
    <row r="277" spans="1:60" s="57" customFormat="1" hidden="1" outlineLevel="1" x14ac:dyDescent="0.25">
      <c r="A277" s="494"/>
      <c r="B277" s="493"/>
      <c r="C277" s="874"/>
      <c r="D277" s="874"/>
      <c r="E277" s="874"/>
      <c r="F277" s="874"/>
      <c r="G277" s="879"/>
      <c r="H277" s="879"/>
      <c r="I277" s="879"/>
      <c r="J277" s="879"/>
      <c r="K277" s="874"/>
      <c r="L277" s="879"/>
      <c r="M277" s="879"/>
      <c r="N277" s="879"/>
      <c r="O277" s="879"/>
      <c r="P277" s="874"/>
      <c r="Q277" s="879"/>
      <c r="R277" s="879"/>
      <c r="S277" s="879"/>
      <c r="T277" s="879"/>
      <c r="U277" s="874"/>
      <c r="V277" s="879"/>
      <c r="W277" s="879"/>
      <c r="X277" s="879"/>
      <c r="Y277" s="879"/>
      <c r="Z277" s="874"/>
      <c r="AA277" s="879"/>
      <c r="AB277" s="879"/>
      <c r="AC277" s="879"/>
      <c r="AD277" s="879"/>
      <c r="AE277" s="874"/>
      <c r="AF277" s="879"/>
      <c r="AG277" s="879"/>
      <c r="AH277" s="879"/>
      <c r="AI277" s="879"/>
      <c r="AJ277" s="874"/>
      <c r="AK277" s="879"/>
      <c r="AL277" s="879"/>
      <c r="AM277" s="879"/>
      <c r="AN277" s="879"/>
      <c r="AO277" s="874"/>
      <c r="AP277" s="879"/>
      <c r="AQ277" s="879"/>
      <c r="AR277" s="879"/>
      <c r="AS277" s="879"/>
      <c r="AT277" s="874"/>
      <c r="AU277" s="879"/>
      <c r="AV277" s="879"/>
      <c r="AW277" s="880"/>
      <c r="AX277" s="879"/>
      <c r="AY277" s="874"/>
      <c r="AZ277" s="879"/>
      <c r="BA277" s="879"/>
      <c r="BB277" s="879"/>
      <c r="BC277" s="879"/>
      <c r="BD277" s="874"/>
      <c r="BE277" s="874"/>
      <c r="BF277" s="874"/>
      <c r="BG277" s="874"/>
      <c r="BH277" s="821"/>
    </row>
    <row r="278" spans="1:60" s="57" customFormat="1" hidden="1" outlineLevel="1" x14ac:dyDescent="0.25">
      <c r="A278" s="63" t="s">
        <v>489</v>
      </c>
      <c r="B278" s="493"/>
      <c r="C278" s="874"/>
      <c r="D278" s="874"/>
      <c r="E278" s="874"/>
      <c r="F278" s="874"/>
      <c r="G278" s="879"/>
      <c r="H278" s="879"/>
      <c r="I278" s="879"/>
      <c r="J278" s="879"/>
      <c r="K278" s="874"/>
      <c r="L278" s="879"/>
      <c r="M278" s="879"/>
      <c r="N278" s="879"/>
      <c r="O278" s="879"/>
      <c r="P278" s="874"/>
      <c r="Q278" s="879"/>
      <c r="R278" s="879"/>
      <c r="S278" s="879"/>
      <c r="T278" s="879"/>
      <c r="U278" s="874"/>
      <c r="V278" s="879"/>
      <c r="W278" s="879"/>
      <c r="X278" s="879"/>
      <c r="Y278" s="879"/>
      <c r="Z278" s="874"/>
      <c r="AA278" s="879"/>
      <c r="AB278" s="879"/>
      <c r="AC278" s="879"/>
      <c r="AD278" s="879"/>
      <c r="AE278" s="874"/>
      <c r="AF278" s="879"/>
      <c r="AG278" s="879"/>
      <c r="AH278" s="879"/>
      <c r="AI278" s="879"/>
      <c r="AJ278" s="874"/>
      <c r="AK278" s="879"/>
      <c r="AL278" s="879"/>
      <c r="AM278" s="879"/>
      <c r="AN278" s="879"/>
      <c r="AO278" s="875">
        <f>AJ339</f>
        <v>2369.4690000000001</v>
      </c>
      <c r="AP278" s="876">
        <f>AK339</f>
        <v>616.57799999999997</v>
      </c>
      <c r="AQ278" s="876">
        <f>AL339</f>
        <v>603.15</v>
      </c>
      <c r="AR278" s="876">
        <f>AM339</f>
        <v>553.79700000000003</v>
      </c>
      <c r="AS278" s="879"/>
      <c r="AT278" s="875">
        <f>AO339</f>
        <v>2652.462</v>
      </c>
      <c r="AU278" s="879">
        <f>AP339</f>
        <v>503.83</v>
      </c>
      <c r="AV278" s="879">
        <f>AQ339</f>
        <v>434.37</v>
      </c>
      <c r="AW278" s="880">
        <f>AR339</f>
        <v>527.59699999999998</v>
      </c>
      <c r="AX278" s="879"/>
      <c r="AY278" s="874"/>
      <c r="AZ278" s="879"/>
      <c r="BA278" s="879"/>
      <c r="BB278" s="879"/>
      <c r="BC278" s="879"/>
      <c r="BD278" s="874"/>
      <c r="BE278" s="874"/>
      <c r="BF278" s="874"/>
      <c r="BG278" s="874"/>
      <c r="BH278" s="821"/>
    </row>
    <row r="279" spans="1:60" s="57" customFormat="1" hidden="1" outlineLevel="1" x14ac:dyDescent="0.25">
      <c r="A279" s="367" t="s">
        <v>491</v>
      </c>
      <c r="B279" s="442"/>
      <c r="C279" s="864"/>
      <c r="D279" s="864"/>
      <c r="E279" s="864"/>
      <c r="F279" s="864"/>
      <c r="G279" s="867"/>
      <c r="H279" s="867"/>
      <c r="I279" s="867"/>
      <c r="J279" s="867"/>
      <c r="K279" s="864"/>
      <c r="L279" s="867"/>
      <c r="M279" s="867"/>
      <c r="N279" s="867"/>
      <c r="O279" s="867"/>
      <c r="P279" s="864"/>
      <c r="Q279" s="867"/>
      <c r="R279" s="867"/>
      <c r="S279" s="867"/>
      <c r="T279" s="867"/>
      <c r="U279" s="864"/>
      <c r="V279" s="867"/>
      <c r="W279" s="867"/>
      <c r="X279" s="867"/>
      <c r="Y279" s="867"/>
      <c r="Z279" s="864"/>
      <c r="AA279" s="867"/>
      <c r="AB279" s="867"/>
      <c r="AC279" s="867"/>
      <c r="AD279" s="867"/>
      <c r="AE279" s="864"/>
      <c r="AF279" s="867"/>
      <c r="AG279" s="867"/>
      <c r="AH279" s="867"/>
      <c r="AI279" s="867"/>
      <c r="AJ279" s="864"/>
      <c r="AK279" s="867"/>
      <c r="AL279" s="867"/>
      <c r="AM279" s="867"/>
      <c r="AN279" s="867"/>
      <c r="AO279" s="865">
        <v>139</v>
      </c>
      <c r="AP279" s="866">
        <v>0</v>
      </c>
      <c r="AQ279" s="867"/>
      <c r="AR279" s="867"/>
      <c r="AS279" s="867"/>
      <c r="AT279" s="864"/>
      <c r="AU279" s="867">
        <v>11</v>
      </c>
      <c r="AV279" s="867"/>
      <c r="AW279" s="868"/>
      <c r="AX279" s="867"/>
      <c r="AY279" s="864"/>
      <c r="AZ279" s="867"/>
      <c r="BA279" s="867"/>
      <c r="BB279" s="867"/>
      <c r="BC279" s="867"/>
      <c r="BD279" s="864"/>
      <c r="BE279" s="864"/>
      <c r="BF279" s="864"/>
      <c r="BG279" s="864"/>
      <c r="BH279" s="821"/>
    </row>
    <row r="280" spans="1:60" s="57" customFormat="1" hidden="1" outlineLevel="1" x14ac:dyDescent="0.25">
      <c r="A280" s="367" t="s">
        <v>490</v>
      </c>
      <c r="B280" s="442"/>
      <c r="C280" s="864"/>
      <c r="D280" s="864"/>
      <c r="E280" s="864"/>
      <c r="F280" s="864"/>
      <c r="G280" s="867"/>
      <c r="H280" s="867"/>
      <c r="I280" s="867"/>
      <c r="J280" s="867"/>
      <c r="K280" s="864"/>
      <c r="L280" s="867"/>
      <c r="M280" s="867"/>
      <c r="N280" s="867"/>
      <c r="O280" s="867"/>
      <c r="P280" s="864"/>
      <c r="Q280" s="867"/>
      <c r="R280" s="867"/>
      <c r="S280" s="867"/>
      <c r="T280" s="867"/>
      <c r="U280" s="864"/>
      <c r="V280" s="867"/>
      <c r="W280" s="867"/>
      <c r="X280" s="867"/>
      <c r="Y280" s="867"/>
      <c r="Z280" s="864"/>
      <c r="AA280" s="867"/>
      <c r="AB280" s="867"/>
      <c r="AC280" s="867"/>
      <c r="AD280" s="867"/>
      <c r="AE280" s="864"/>
      <c r="AF280" s="867"/>
      <c r="AG280" s="867"/>
      <c r="AH280" s="867"/>
      <c r="AI280" s="867"/>
      <c r="AJ280" s="864"/>
      <c r="AK280" s="867"/>
      <c r="AL280" s="867"/>
      <c r="AM280" s="867"/>
      <c r="AN280" s="867"/>
      <c r="AO280" s="865">
        <v>144</v>
      </c>
      <c r="AP280" s="866">
        <v>-126</v>
      </c>
      <c r="AQ280" s="866">
        <v>-176</v>
      </c>
      <c r="AR280" s="866">
        <v>-25</v>
      </c>
      <c r="AS280" s="867"/>
      <c r="AT280" s="865">
        <v>-432</v>
      </c>
      <c r="AU280" s="867"/>
      <c r="AV280" s="867">
        <v>163</v>
      </c>
      <c r="AW280" s="868">
        <v>87</v>
      </c>
      <c r="AX280" s="867"/>
      <c r="AY280" s="864"/>
      <c r="AZ280" s="867"/>
      <c r="BA280" s="867"/>
      <c r="BB280" s="867"/>
      <c r="BC280" s="867"/>
      <c r="BD280" s="864"/>
      <c r="BE280" s="864"/>
      <c r="BF280" s="864"/>
      <c r="BG280" s="864"/>
      <c r="BH280" s="821"/>
    </row>
    <row r="281" spans="1:60" s="57" customFormat="1" hidden="1" outlineLevel="1" x14ac:dyDescent="0.25">
      <c r="A281" s="367" t="s">
        <v>493</v>
      </c>
      <c r="B281" s="442"/>
      <c r="C281" s="864"/>
      <c r="D281" s="864"/>
      <c r="E281" s="864"/>
      <c r="F281" s="864"/>
      <c r="G281" s="867"/>
      <c r="H281" s="867"/>
      <c r="I281" s="867"/>
      <c r="J281" s="867"/>
      <c r="K281" s="864"/>
      <c r="L281" s="867"/>
      <c r="M281" s="867"/>
      <c r="N281" s="867"/>
      <c r="O281" s="867"/>
      <c r="P281" s="864"/>
      <c r="Q281" s="867"/>
      <c r="R281" s="867"/>
      <c r="S281" s="867"/>
      <c r="T281" s="867"/>
      <c r="U281" s="864"/>
      <c r="V281" s="867"/>
      <c r="W281" s="867"/>
      <c r="X281" s="867"/>
      <c r="Y281" s="867"/>
      <c r="Z281" s="864"/>
      <c r="AA281" s="867"/>
      <c r="AB281" s="867"/>
      <c r="AC281" s="867"/>
      <c r="AD281" s="867"/>
      <c r="AE281" s="864"/>
      <c r="AF281" s="867"/>
      <c r="AG281" s="867"/>
      <c r="AH281" s="867"/>
      <c r="AI281" s="867"/>
      <c r="AJ281" s="864"/>
      <c r="AK281" s="867"/>
      <c r="AL281" s="867"/>
      <c r="AM281" s="867"/>
      <c r="AN281" s="867"/>
      <c r="AO281" s="865">
        <f>AO282-SUM(AO278:AO280)</f>
        <v>-7.0000000000618456E-3</v>
      </c>
      <c r="AP281" s="866">
        <f>AP282-SUM(AP278:AP280)</f>
        <v>13.25200000000001</v>
      </c>
      <c r="AQ281" s="866">
        <f>AQ282-SUM(AQ278:AQ280)</f>
        <v>7.2200000000000273</v>
      </c>
      <c r="AR281" s="866">
        <f>AR282-SUM(AR278:AR280)</f>
        <v>-1.2000000000000455</v>
      </c>
      <c r="AS281" s="867"/>
      <c r="AT281" s="865">
        <f>AT282-SUM(AT278:AT280)</f>
        <v>7.9000000000000909</v>
      </c>
      <c r="AU281" s="867">
        <f>AU282-SUM(AU278:AU280)</f>
        <v>-2.3179999999999836</v>
      </c>
      <c r="AV281" s="867">
        <f>AV282-SUM(AV278:AV280)</f>
        <v>6.6029999999999518</v>
      </c>
      <c r="AW281" s="868">
        <f>AW282-SUM(AW278:AW280)</f>
        <v>21.350999999999999</v>
      </c>
      <c r="AX281" s="867"/>
      <c r="AY281" s="864"/>
      <c r="AZ281" s="867"/>
      <c r="BA281" s="867"/>
      <c r="BB281" s="867"/>
      <c r="BC281" s="867"/>
      <c r="BD281" s="864"/>
      <c r="BE281" s="864"/>
      <c r="BF281" s="864"/>
      <c r="BG281" s="864"/>
      <c r="BH281" s="821"/>
    </row>
    <row r="282" spans="1:60" s="57" customFormat="1" hidden="1" outlineLevel="1" x14ac:dyDescent="0.25">
      <c r="A282" s="61" t="s">
        <v>492</v>
      </c>
      <c r="B282" s="492"/>
      <c r="C282" s="869"/>
      <c r="D282" s="869"/>
      <c r="E282" s="869"/>
      <c r="F282" s="869"/>
      <c r="G282" s="870"/>
      <c r="H282" s="870"/>
      <c r="I282" s="870"/>
      <c r="J282" s="870"/>
      <c r="K282" s="869"/>
      <c r="L282" s="870"/>
      <c r="M282" s="870"/>
      <c r="N282" s="870"/>
      <c r="O282" s="870"/>
      <c r="P282" s="869"/>
      <c r="Q282" s="870"/>
      <c r="R282" s="870"/>
      <c r="S282" s="870"/>
      <c r="T282" s="870"/>
      <c r="U282" s="869"/>
      <c r="V282" s="870"/>
      <c r="W282" s="870"/>
      <c r="X282" s="870"/>
      <c r="Y282" s="870"/>
      <c r="Z282" s="869"/>
      <c r="AA282" s="870"/>
      <c r="AB282" s="870"/>
      <c r="AC282" s="870"/>
      <c r="AD282" s="870"/>
      <c r="AE282" s="869"/>
      <c r="AF282" s="870"/>
      <c r="AG282" s="870"/>
      <c r="AH282" s="870"/>
      <c r="AI282" s="870"/>
      <c r="AJ282" s="869"/>
      <c r="AK282" s="870"/>
      <c r="AL282" s="870"/>
      <c r="AM282" s="870"/>
      <c r="AN282" s="870"/>
      <c r="AO282" s="872">
        <f>AO339</f>
        <v>2652.462</v>
      </c>
      <c r="AP282" s="871">
        <f>AP339</f>
        <v>503.83</v>
      </c>
      <c r="AQ282" s="871">
        <f>AQ339</f>
        <v>434.37</v>
      </c>
      <c r="AR282" s="871">
        <f>AR339</f>
        <v>527.59699999999998</v>
      </c>
      <c r="AS282" s="870"/>
      <c r="AT282" s="872">
        <f>AT339</f>
        <v>2228.3620000000001</v>
      </c>
      <c r="AU282" s="870">
        <f>AU339</f>
        <v>512.51199999999994</v>
      </c>
      <c r="AV282" s="870">
        <f>AV339</f>
        <v>603.97299999999996</v>
      </c>
      <c r="AW282" s="887">
        <f>AW339</f>
        <v>635.94799999999998</v>
      </c>
      <c r="AX282" s="870"/>
      <c r="AY282" s="869"/>
      <c r="AZ282" s="870"/>
      <c r="BA282" s="870"/>
      <c r="BB282" s="870"/>
      <c r="BC282" s="870"/>
      <c r="BD282" s="869"/>
      <c r="BE282" s="869"/>
      <c r="BF282" s="869"/>
      <c r="BG282" s="869"/>
      <c r="BH282" s="821"/>
    </row>
    <row r="283" spans="1:60" s="57" customFormat="1" hidden="1" outlineLevel="1" x14ac:dyDescent="0.25">
      <c r="A283" s="494"/>
      <c r="B283" s="493"/>
      <c r="C283" s="874"/>
      <c r="D283" s="874"/>
      <c r="E283" s="874"/>
      <c r="F283" s="874"/>
      <c r="G283" s="879"/>
      <c r="H283" s="879"/>
      <c r="I283" s="879"/>
      <c r="J283" s="879"/>
      <c r="K283" s="874"/>
      <c r="L283" s="879"/>
      <c r="M283" s="879"/>
      <c r="N283" s="879"/>
      <c r="O283" s="879"/>
      <c r="P283" s="874"/>
      <c r="Q283" s="879"/>
      <c r="R283" s="879"/>
      <c r="S283" s="879"/>
      <c r="T283" s="879"/>
      <c r="U283" s="874"/>
      <c r="V283" s="879"/>
      <c r="W283" s="879"/>
      <c r="X283" s="879"/>
      <c r="Y283" s="879"/>
      <c r="Z283" s="874"/>
      <c r="AA283" s="879"/>
      <c r="AB283" s="879"/>
      <c r="AC283" s="879"/>
      <c r="AD283" s="879"/>
      <c r="AE283" s="874"/>
      <c r="AF283" s="879"/>
      <c r="AG283" s="879"/>
      <c r="AH283" s="879"/>
      <c r="AI283" s="879"/>
      <c r="AJ283" s="874"/>
      <c r="AK283" s="879"/>
      <c r="AL283" s="879"/>
      <c r="AM283" s="879"/>
      <c r="AN283" s="879"/>
      <c r="AO283" s="874"/>
      <c r="AP283" s="879"/>
      <c r="AQ283" s="879"/>
      <c r="AR283" s="879"/>
      <c r="AS283" s="879"/>
      <c r="AT283" s="874"/>
      <c r="AU283" s="879"/>
      <c r="AV283" s="879"/>
      <c r="AW283" s="880"/>
      <c r="AX283" s="879"/>
      <c r="AY283" s="874"/>
      <c r="AZ283" s="879"/>
      <c r="BA283" s="879"/>
      <c r="BB283" s="879"/>
      <c r="BC283" s="879"/>
      <c r="BD283" s="874"/>
      <c r="BE283" s="874"/>
      <c r="BF283" s="874"/>
      <c r="BG283" s="874"/>
      <c r="BH283" s="821"/>
    </row>
    <row r="284" spans="1:60" s="57" customFormat="1" hidden="1" outlineLevel="1" x14ac:dyDescent="0.25">
      <c r="A284" s="63" t="s">
        <v>494</v>
      </c>
      <c r="B284" s="493"/>
      <c r="C284" s="874"/>
      <c r="D284" s="874"/>
      <c r="E284" s="874"/>
      <c r="F284" s="874"/>
      <c r="G284" s="879"/>
      <c r="H284" s="879"/>
      <c r="I284" s="879"/>
      <c r="J284" s="879"/>
      <c r="K284" s="874"/>
      <c r="L284" s="879"/>
      <c r="M284" s="879"/>
      <c r="N284" s="879"/>
      <c r="O284" s="879"/>
      <c r="P284" s="874"/>
      <c r="Q284" s="879"/>
      <c r="R284" s="879"/>
      <c r="S284" s="879"/>
      <c r="T284" s="879"/>
      <c r="U284" s="874"/>
      <c r="V284" s="879"/>
      <c r="W284" s="879"/>
      <c r="X284" s="879"/>
      <c r="Y284" s="879"/>
      <c r="Z284" s="874"/>
      <c r="AA284" s="879"/>
      <c r="AB284" s="879"/>
      <c r="AC284" s="879"/>
      <c r="AD284" s="879"/>
      <c r="AE284" s="874"/>
      <c r="AF284" s="879"/>
      <c r="AG284" s="879"/>
      <c r="AH284" s="879"/>
      <c r="AI284" s="879"/>
      <c r="AJ284" s="875">
        <f t="shared" ref="AJ284:AW284" si="194">AE340</f>
        <v>953.71</v>
      </c>
      <c r="AK284" s="876">
        <f t="shared" si="194"/>
        <v>282.31</v>
      </c>
      <c r="AL284" s="876">
        <f t="shared" si="194"/>
        <v>299.09500000000003</v>
      </c>
      <c r="AM284" s="876">
        <f t="shared" si="194"/>
        <v>308.62</v>
      </c>
      <c r="AN284" s="876">
        <f t="shared" si="194"/>
        <v>331.7890000000001</v>
      </c>
      <c r="AO284" s="875">
        <f t="shared" si="194"/>
        <v>1221.8140000000001</v>
      </c>
      <c r="AP284" s="876">
        <f t="shared" si="194"/>
        <v>372.76400000000001</v>
      </c>
      <c r="AQ284" s="876">
        <f t="shared" si="194"/>
        <v>383.233</v>
      </c>
      <c r="AR284" s="876">
        <f t="shared" si="194"/>
        <v>379.77600000000001</v>
      </c>
      <c r="AS284" s="879"/>
      <c r="AT284" s="875">
        <f t="shared" si="194"/>
        <v>1545.1489999999999</v>
      </c>
      <c r="AU284" s="879">
        <f t="shared" si="194"/>
        <v>453.81700000000001</v>
      </c>
      <c r="AV284" s="879">
        <f t="shared" si="194"/>
        <v>435.04500000000002</v>
      </c>
      <c r="AW284" s="880">
        <f t="shared" si="194"/>
        <v>453.80200000000002</v>
      </c>
      <c r="AX284" s="879"/>
      <c r="AY284" s="874"/>
      <c r="AZ284" s="879"/>
      <c r="BA284" s="879"/>
      <c r="BB284" s="879"/>
      <c r="BC284" s="879"/>
      <c r="BD284" s="874"/>
      <c r="BE284" s="874"/>
      <c r="BF284" s="874"/>
      <c r="BG284" s="874"/>
      <c r="BH284" s="821"/>
    </row>
    <row r="285" spans="1:60" s="57" customFormat="1" hidden="1" outlineLevel="1" x14ac:dyDescent="0.25">
      <c r="A285" s="367" t="s">
        <v>495</v>
      </c>
      <c r="B285" s="442"/>
      <c r="C285" s="864"/>
      <c r="D285" s="864"/>
      <c r="E285" s="864"/>
      <c r="F285" s="864"/>
      <c r="G285" s="867"/>
      <c r="H285" s="867"/>
      <c r="I285" s="867"/>
      <c r="J285" s="867"/>
      <c r="K285" s="864"/>
      <c r="L285" s="867"/>
      <c r="M285" s="867"/>
      <c r="N285" s="867"/>
      <c r="O285" s="867"/>
      <c r="P285" s="864"/>
      <c r="Q285" s="867"/>
      <c r="R285" s="867"/>
      <c r="S285" s="867"/>
      <c r="T285" s="867"/>
      <c r="U285" s="864"/>
      <c r="V285" s="867"/>
      <c r="W285" s="867"/>
      <c r="X285" s="867"/>
      <c r="Y285" s="867"/>
      <c r="Z285" s="864"/>
      <c r="AA285" s="867"/>
      <c r="AB285" s="867"/>
      <c r="AC285" s="867"/>
      <c r="AD285" s="867"/>
      <c r="AE285" s="864"/>
      <c r="AF285" s="867"/>
      <c r="AG285" s="867"/>
      <c r="AH285" s="867"/>
      <c r="AI285" s="867"/>
      <c r="AJ285" s="865">
        <v>218</v>
      </c>
      <c r="AK285" s="866">
        <v>82</v>
      </c>
      <c r="AL285" s="866">
        <v>81</v>
      </c>
      <c r="AM285" s="866">
        <v>67</v>
      </c>
      <c r="AN285" s="866">
        <f>AO285-SUM(AK285,AL285,AM285)</f>
        <v>75</v>
      </c>
      <c r="AO285" s="865">
        <v>305</v>
      </c>
      <c r="AP285" s="866">
        <v>78</v>
      </c>
      <c r="AQ285" s="866">
        <v>43</v>
      </c>
      <c r="AR285" s="866">
        <v>67</v>
      </c>
      <c r="AS285" s="867"/>
      <c r="AT285" s="865">
        <v>254</v>
      </c>
      <c r="AU285" s="867">
        <v>61</v>
      </c>
      <c r="AV285" s="867">
        <v>89</v>
      </c>
      <c r="AW285" s="868">
        <v>95</v>
      </c>
      <c r="AX285" s="867"/>
      <c r="AY285" s="864"/>
      <c r="AZ285" s="867"/>
      <c r="BA285" s="867"/>
      <c r="BB285" s="867"/>
      <c r="BC285" s="867"/>
      <c r="BD285" s="864"/>
      <c r="BE285" s="864"/>
      <c r="BF285" s="864"/>
      <c r="BG285" s="864"/>
      <c r="BH285" s="821"/>
    </row>
    <row r="286" spans="1:60" s="57" customFormat="1" hidden="1" outlineLevel="1" x14ac:dyDescent="0.25">
      <c r="A286" s="367" t="s">
        <v>496</v>
      </c>
      <c r="B286" s="442"/>
      <c r="C286" s="864"/>
      <c r="D286" s="864"/>
      <c r="E286" s="864"/>
      <c r="F286" s="864"/>
      <c r="G286" s="867"/>
      <c r="H286" s="867"/>
      <c r="I286" s="867"/>
      <c r="J286" s="867"/>
      <c r="K286" s="864"/>
      <c r="L286" s="867"/>
      <c r="M286" s="867"/>
      <c r="N286" s="867"/>
      <c r="O286" s="867"/>
      <c r="P286" s="864"/>
      <c r="Q286" s="867"/>
      <c r="R286" s="867"/>
      <c r="S286" s="867"/>
      <c r="T286" s="867"/>
      <c r="U286" s="864"/>
      <c r="V286" s="867"/>
      <c r="W286" s="867"/>
      <c r="X286" s="867"/>
      <c r="Y286" s="867"/>
      <c r="Z286" s="864"/>
      <c r="AA286" s="867"/>
      <c r="AB286" s="867"/>
      <c r="AC286" s="867"/>
      <c r="AD286" s="867"/>
      <c r="AE286" s="864"/>
      <c r="AF286" s="867"/>
      <c r="AG286" s="867"/>
      <c r="AH286" s="867"/>
      <c r="AI286" s="867"/>
      <c r="AJ286" s="864"/>
      <c r="AK286" s="866">
        <v>9</v>
      </c>
      <c r="AL286" s="866">
        <v>0</v>
      </c>
      <c r="AM286" s="866">
        <v>0</v>
      </c>
      <c r="AN286" s="866">
        <f>AO286-SUM(AK286,AL286,AM286)</f>
        <v>9</v>
      </c>
      <c r="AO286" s="865">
        <v>18</v>
      </c>
      <c r="AP286" s="866">
        <v>0</v>
      </c>
      <c r="AQ286" s="867"/>
      <c r="AR286" s="867"/>
      <c r="AS286" s="867"/>
      <c r="AT286" s="864"/>
      <c r="AU286" s="867"/>
      <c r="AV286" s="867"/>
      <c r="AW286" s="868"/>
      <c r="AX286" s="867"/>
      <c r="AY286" s="864"/>
      <c r="AZ286" s="867"/>
      <c r="BA286" s="867"/>
      <c r="BB286" s="867"/>
      <c r="BC286" s="867"/>
      <c r="BD286" s="864"/>
      <c r="BE286" s="864"/>
      <c r="BF286" s="864"/>
      <c r="BG286" s="864"/>
      <c r="BH286" s="821"/>
    </row>
    <row r="287" spans="1:60" s="57" customFormat="1" hidden="1" outlineLevel="1" x14ac:dyDescent="0.25">
      <c r="A287" s="367" t="s">
        <v>497</v>
      </c>
      <c r="B287" s="442"/>
      <c r="C287" s="864"/>
      <c r="D287" s="864"/>
      <c r="E287" s="864"/>
      <c r="F287" s="864"/>
      <c r="G287" s="867"/>
      <c r="H287" s="867"/>
      <c r="I287" s="867"/>
      <c r="J287" s="867"/>
      <c r="K287" s="864"/>
      <c r="L287" s="867"/>
      <c r="M287" s="867"/>
      <c r="N287" s="867"/>
      <c r="O287" s="867"/>
      <c r="P287" s="864"/>
      <c r="Q287" s="867"/>
      <c r="R287" s="867"/>
      <c r="S287" s="867"/>
      <c r="T287" s="867"/>
      <c r="U287" s="864"/>
      <c r="V287" s="867"/>
      <c r="W287" s="867"/>
      <c r="X287" s="867"/>
      <c r="Y287" s="867"/>
      <c r="Z287" s="864"/>
      <c r="AA287" s="867"/>
      <c r="AB287" s="867"/>
      <c r="AC287" s="867"/>
      <c r="AD287" s="867"/>
      <c r="AE287" s="864"/>
      <c r="AF287" s="867"/>
      <c r="AG287" s="867"/>
      <c r="AH287" s="867"/>
      <c r="AI287" s="867"/>
      <c r="AJ287" s="865">
        <f t="shared" ref="AJ287:AR287" si="195">AJ288-SUM(AJ284:AJ286)</f>
        <v>50.104000000000042</v>
      </c>
      <c r="AK287" s="866">
        <f t="shared" si="195"/>
        <v>-0.54599999999999227</v>
      </c>
      <c r="AL287" s="866">
        <f t="shared" si="195"/>
        <v>3.1379999999999768</v>
      </c>
      <c r="AM287" s="866">
        <f t="shared" si="195"/>
        <v>4.1560000000000059</v>
      </c>
      <c r="AN287" s="866">
        <f t="shared" si="195"/>
        <v>-6.4130000000002951</v>
      </c>
      <c r="AO287" s="865">
        <f t="shared" si="195"/>
        <v>0.33499999999980901</v>
      </c>
      <c r="AP287" s="866">
        <f t="shared" si="195"/>
        <v>3.0529999999999973</v>
      </c>
      <c r="AQ287" s="866">
        <f t="shared" si="195"/>
        <v>8.8120000000000118</v>
      </c>
      <c r="AR287" s="866">
        <f t="shared" si="195"/>
        <v>7.0260000000000105</v>
      </c>
      <c r="AS287" s="867"/>
      <c r="AT287" s="865">
        <f>AT288-SUM(AT284:AT286)</f>
        <v>30.451000000000022</v>
      </c>
      <c r="AU287" s="867">
        <f>AU288-SUM(AU284:AU286)</f>
        <v>10.389999999999986</v>
      </c>
      <c r="AV287" s="867">
        <f>AV288-SUM(AV284:AV286)</f>
        <v>13.275999999999954</v>
      </c>
      <c r="AW287" s="868">
        <f>AW288-SUM(AW284:AW286)</f>
        <v>15.084999999999923</v>
      </c>
      <c r="AX287" s="867"/>
      <c r="AY287" s="864"/>
      <c r="AZ287" s="867"/>
      <c r="BA287" s="867"/>
      <c r="BB287" s="867"/>
      <c r="BC287" s="867"/>
      <c r="BD287" s="864"/>
      <c r="BE287" s="864"/>
      <c r="BF287" s="864"/>
      <c r="BG287" s="864"/>
      <c r="BH287" s="821"/>
    </row>
    <row r="288" spans="1:60" s="57" customFormat="1" hidden="1" outlineLevel="1" x14ac:dyDescent="0.25">
      <c r="A288" s="61" t="s">
        <v>498</v>
      </c>
      <c r="B288" s="492"/>
      <c r="C288" s="869"/>
      <c r="D288" s="869"/>
      <c r="E288" s="869"/>
      <c r="F288" s="869"/>
      <c r="G288" s="870"/>
      <c r="H288" s="870"/>
      <c r="I288" s="870"/>
      <c r="J288" s="870"/>
      <c r="K288" s="869"/>
      <c r="L288" s="870"/>
      <c r="M288" s="870"/>
      <c r="N288" s="870"/>
      <c r="O288" s="870"/>
      <c r="P288" s="869"/>
      <c r="Q288" s="870"/>
      <c r="R288" s="870"/>
      <c r="S288" s="870"/>
      <c r="T288" s="870"/>
      <c r="U288" s="869"/>
      <c r="V288" s="870"/>
      <c r="W288" s="870"/>
      <c r="X288" s="870"/>
      <c r="Y288" s="870"/>
      <c r="Z288" s="869"/>
      <c r="AA288" s="870"/>
      <c r="AB288" s="870"/>
      <c r="AC288" s="870"/>
      <c r="AD288" s="870"/>
      <c r="AE288" s="869"/>
      <c r="AF288" s="870"/>
      <c r="AG288" s="870"/>
      <c r="AH288" s="870"/>
      <c r="AI288" s="870"/>
      <c r="AJ288" s="872">
        <f t="shared" ref="AJ288:AQ288" si="196">AJ340</f>
        <v>1221.8140000000001</v>
      </c>
      <c r="AK288" s="871">
        <f t="shared" si="196"/>
        <v>372.76400000000001</v>
      </c>
      <c r="AL288" s="871">
        <f t="shared" si="196"/>
        <v>383.233</v>
      </c>
      <c r="AM288" s="871">
        <f t="shared" si="196"/>
        <v>379.77600000000001</v>
      </c>
      <c r="AN288" s="871">
        <f t="shared" si="196"/>
        <v>409.37599999999981</v>
      </c>
      <c r="AO288" s="872">
        <f t="shared" si="196"/>
        <v>1545.1489999999999</v>
      </c>
      <c r="AP288" s="871">
        <f t="shared" si="196"/>
        <v>453.81700000000001</v>
      </c>
      <c r="AQ288" s="871">
        <f t="shared" si="196"/>
        <v>435.04500000000002</v>
      </c>
      <c r="AR288" s="871">
        <f t="shared" ref="AR288:AT288" si="197">AR340</f>
        <v>453.80200000000002</v>
      </c>
      <c r="AS288" s="870"/>
      <c r="AT288" s="872">
        <f t="shared" si="197"/>
        <v>1829.6</v>
      </c>
      <c r="AU288" s="870">
        <f t="shared" ref="AU288:AV288" si="198">AU340</f>
        <v>525.20699999999999</v>
      </c>
      <c r="AV288" s="870">
        <f t="shared" si="198"/>
        <v>537.32100000000003</v>
      </c>
      <c r="AW288" s="887">
        <f t="shared" ref="AW288" si="199">AW340</f>
        <v>563.88699999999994</v>
      </c>
      <c r="AX288" s="870"/>
      <c r="AY288" s="869"/>
      <c r="AZ288" s="870"/>
      <c r="BA288" s="870"/>
      <c r="BB288" s="870"/>
      <c r="BC288" s="870"/>
      <c r="BD288" s="869"/>
      <c r="BE288" s="869"/>
      <c r="BF288" s="869"/>
      <c r="BG288" s="869"/>
      <c r="BH288" s="821"/>
    </row>
    <row r="289" spans="1:60" s="57" customFormat="1" hidden="1" outlineLevel="1" x14ac:dyDescent="0.25">
      <c r="A289" s="494"/>
      <c r="B289" s="493"/>
      <c r="C289" s="874"/>
      <c r="D289" s="874"/>
      <c r="E289" s="874"/>
      <c r="F289" s="874"/>
      <c r="G289" s="879"/>
      <c r="H289" s="879"/>
      <c r="I289" s="879"/>
      <c r="J289" s="879"/>
      <c r="K289" s="874"/>
      <c r="L289" s="879"/>
      <c r="M289" s="879"/>
      <c r="N289" s="879"/>
      <c r="O289" s="879"/>
      <c r="P289" s="874"/>
      <c r="Q289" s="879"/>
      <c r="R289" s="879"/>
      <c r="S289" s="879"/>
      <c r="T289" s="879"/>
      <c r="U289" s="874"/>
      <c r="V289" s="879"/>
      <c r="W289" s="879"/>
      <c r="X289" s="879"/>
      <c r="Y289" s="879"/>
      <c r="Z289" s="874"/>
      <c r="AA289" s="879"/>
      <c r="AB289" s="879"/>
      <c r="AC289" s="879"/>
      <c r="AD289" s="879"/>
      <c r="AE289" s="874"/>
      <c r="AF289" s="879"/>
      <c r="AG289" s="879"/>
      <c r="AH289" s="879"/>
      <c r="AI289" s="879"/>
      <c r="AJ289" s="874"/>
      <c r="AK289" s="879"/>
      <c r="AL289" s="879"/>
      <c r="AM289" s="879"/>
      <c r="AN289" s="879"/>
      <c r="AO289" s="874"/>
      <c r="AP289" s="879"/>
      <c r="AQ289" s="879"/>
      <c r="AR289" s="879"/>
      <c r="AS289" s="879"/>
      <c r="AT289" s="874"/>
      <c r="AU289" s="879"/>
      <c r="AV289" s="879"/>
      <c r="AW289" s="880"/>
      <c r="AX289" s="879"/>
      <c r="AY289" s="874"/>
      <c r="AZ289" s="879"/>
      <c r="BA289" s="879"/>
      <c r="BB289" s="879"/>
      <c r="BC289" s="879"/>
      <c r="BD289" s="874"/>
      <c r="BE289" s="874"/>
      <c r="BF289" s="874"/>
      <c r="BG289" s="874"/>
      <c r="BH289" s="821"/>
    </row>
    <row r="290" spans="1:60" s="57" customFormat="1" hidden="1" outlineLevel="1" x14ac:dyDescent="0.25">
      <c r="A290" s="63" t="s">
        <v>499</v>
      </c>
      <c r="B290" s="493"/>
      <c r="C290" s="874"/>
      <c r="D290" s="874"/>
      <c r="E290" s="874"/>
      <c r="F290" s="874"/>
      <c r="G290" s="879"/>
      <c r="H290" s="879"/>
      <c r="I290" s="879"/>
      <c r="J290" s="879"/>
      <c r="K290" s="874"/>
      <c r="L290" s="879"/>
      <c r="M290" s="879"/>
      <c r="N290" s="879"/>
      <c r="O290" s="879"/>
      <c r="P290" s="874"/>
      <c r="Q290" s="879"/>
      <c r="R290" s="879"/>
      <c r="S290" s="879"/>
      <c r="T290" s="879"/>
      <c r="U290" s="874"/>
      <c r="V290" s="879"/>
      <c r="W290" s="879"/>
      <c r="X290" s="879"/>
      <c r="Y290" s="879"/>
      <c r="Z290" s="874"/>
      <c r="AA290" s="879"/>
      <c r="AB290" s="879"/>
      <c r="AC290" s="879"/>
      <c r="AD290" s="879"/>
      <c r="AE290" s="874"/>
      <c r="AF290" s="879"/>
      <c r="AG290" s="879"/>
      <c r="AH290" s="879"/>
      <c r="AI290" s="879"/>
      <c r="AJ290" s="875">
        <f t="shared" ref="AJ290:AW290" si="200">AE341</f>
        <v>431.04300000000001</v>
      </c>
      <c r="AK290" s="876">
        <f t="shared" si="200"/>
        <v>134.61199999999999</v>
      </c>
      <c r="AL290" s="876">
        <f t="shared" si="200"/>
        <v>151.524</v>
      </c>
      <c r="AM290" s="876">
        <f t="shared" si="200"/>
        <v>168.62799999999999</v>
      </c>
      <c r="AN290" s="876">
        <f t="shared" si="200"/>
        <v>175.53000000000003</v>
      </c>
      <c r="AO290" s="875">
        <f t="shared" si="200"/>
        <v>630.29399999999998</v>
      </c>
      <c r="AP290" s="876">
        <f t="shared" si="200"/>
        <v>201.952</v>
      </c>
      <c r="AQ290" s="876">
        <f t="shared" si="200"/>
        <v>224.65700000000001</v>
      </c>
      <c r="AR290" s="876">
        <f t="shared" si="200"/>
        <v>233.17400000000001</v>
      </c>
      <c r="AS290" s="879"/>
      <c r="AT290" s="875">
        <f t="shared" si="200"/>
        <v>914.36900000000003</v>
      </c>
      <c r="AU290" s="879">
        <f t="shared" si="200"/>
        <v>252.08699999999999</v>
      </c>
      <c r="AV290" s="879">
        <f t="shared" si="200"/>
        <v>277.23599999999999</v>
      </c>
      <c r="AW290" s="880">
        <f t="shared" si="200"/>
        <v>271.62400000000002</v>
      </c>
      <c r="AX290" s="879"/>
      <c r="AY290" s="874"/>
      <c r="AZ290" s="879"/>
      <c r="BA290" s="879"/>
      <c r="BB290" s="879"/>
      <c r="BC290" s="879"/>
      <c r="BD290" s="874"/>
      <c r="BE290" s="874"/>
      <c r="BF290" s="874"/>
      <c r="BG290" s="874"/>
      <c r="BH290" s="821"/>
    </row>
    <row r="291" spans="1:60" s="57" customFormat="1" hidden="1" outlineLevel="1" x14ac:dyDescent="0.25">
      <c r="A291" s="367" t="s">
        <v>500</v>
      </c>
      <c r="B291" s="442"/>
      <c r="C291" s="864"/>
      <c r="D291" s="864"/>
      <c r="E291" s="864"/>
      <c r="F291" s="864"/>
      <c r="G291" s="867"/>
      <c r="H291" s="867"/>
      <c r="I291" s="867"/>
      <c r="J291" s="867"/>
      <c r="K291" s="864"/>
      <c r="L291" s="867"/>
      <c r="M291" s="867"/>
      <c r="N291" s="867"/>
      <c r="O291" s="867"/>
      <c r="P291" s="864"/>
      <c r="Q291" s="867"/>
      <c r="R291" s="867"/>
      <c r="S291" s="867"/>
      <c r="T291" s="867"/>
      <c r="U291" s="864"/>
      <c r="V291" s="867"/>
      <c r="W291" s="867"/>
      <c r="X291" s="867"/>
      <c r="Y291" s="867"/>
      <c r="Z291" s="864"/>
      <c r="AA291" s="867"/>
      <c r="AB291" s="867"/>
      <c r="AC291" s="867"/>
      <c r="AD291" s="867"/>
      <c r="AE291" s="864"/>
      <c r="AF291" s="867"/>
      <c r="AG291" s="867"/>
      <c r="AH291" s="867"/>
      <c r="AI291" s="867"/>
      <c r="AJ291" s="865">
        <v>147</v>
      </c>
      <c r="AK291" s="866">
        <v>55</v>
      </c>
      <c r="AL291" s="866">
        <v>57</v>
      </c>
      <c r="AM291" s="866">
        <v>53</v>
      </c>
      <c r="AN291" s="866">
        <f>AO291-SUM(AK291,AL291,AM291)</f>
        <v>68</v>
      </c>
      <c r="AO291" s="865">
        <v>233</v>
      </c>
      <c r="AP291" s="866">
        <v>46</v>
      </c>
      <c r="AQ291" s="866">
        <v>40</v>
      </c>
      <c r="AR291" s="866">
        <v>32</v>
      </c>
      <c r="AS291" s="867"/>
      <c r="AT291" s="865">
        <v>128</v>
      </c>
      <c r="AU291" s="867">
        <v>19</v>
      </c>
      <c r="AV291" s="867">
        <v>26</v>
      </c>
      <c r="AW291" s="868">
        <v>43</v>
      </c>
      <c r="AX291" s="867"/>
      <c r="AY291" s="864"/>
      <c r="AZ291" s="867"/>
      <c r="BA291" s="867"/>
      <c r="BB291" s="867"/>
      <c r="BC291" s="867"/>
      <c r="BD291" s="864"/>
      <c r="BE291" s="864"/>
      <c r="BF291" s="864"/>
      <c r="BG291" s="864"/>
      <c r="BH291" s="821"/>
    </row>
    <row r="292" spans="1:60" s="57" customFormat="1" hidden="1" outlineLevel="1" x14ac:dyDescent="0.25">
      <c r="A292" s="367" t="s">
        <v>501</v>
      </c>
      <c r="B292" s="442"/>
      <c r="C292" s="864"/>
      <c r="D292" s="864"/>
      <c r="E292" s="864"/>
      <c r="F292" s="864"/>
      <c r="G292" s="867"/>
      <c r="H292" s="867"/>
      <c r="I292" s="867"/>
      <c r="J292" s="867"/>
      <c r="K292" s="864"/>
      <c r="L292" s="867"/>
      <c r="M292" s="867"/>
      <c r="N292" s="867"/>
      <c r="O292" s="867"/>
      <c r="P292" s="864"/>
      <c r="Q292" s="867"/>
      <c r="R292" s="867"/>
      <c r="S292" s="867"/>
      <c r="T292" s="867"/>
      <c r="U292" s="864"/>
      <c r="V292" s="867"/>
      <c r="W292" s="867"/>
      <c r="X292" s="867"/>
      <c r="Y292" s="867"/>
      <c r="Z292" s="864"/>
      <c r="AA292" s="867"/>
      <c r="AB292" s="867"/>
      <c r="AC292" s="867"/>
      <c r="AD292" s="867"/>
      <c r="AE292" s="864"/>
      <c r="AF292" s="867"/>
      <c r="AG292" s="867"/>
      <c r="AH292" s="867"/>
      <c r="AI292" s="867"/>
      <c r="AJ292" s="865">
        <v>29</v>
      </c>
      <c r="AK292" s="866">
        <v>10</v>
      </c>
      <c r="AL292" s="866">
        <v>12</v>
      </c>
      <c r="AM292" s="866">
        <v>6</v>
      </c>
      <c r="AN292" s="866">
        <f>AO292-SUM(AK292,AL292,AM292)</f>
        <v>12</v>
      </c>
      <c r="AO292" s="865">
        <v>40</v>
      </c>
      <c r="AP292" s="866">
        <v>0</v>
      </c>
      <c r="AQ292" s="867"/>
      <c r="AR292" s="867"/>
      <c r="AS292" s="867"/>
      <c r="AT292" s="864"/>
      <c r="AU292" s="867">
        <v>24</v>
      </c>
      <c r="AV292" s="867">
        <v>17</v>
      </c>
      <c r="AW292" s="868"/>
      <c r="AX292" s="867"/>
      <c r="AY292" s="864"/>
      <c r="AZ292" s="867"/>
      <c r="BA292" s="867"/>
      <c r="BB292" s="867"/>
      <c r="BC292" s="867"/>
      <c r="BD292" s="864"/>
      <c r="BE292" s="864"/>
      <c r="BF292" s="864"/>
      <c r="BG292" s="864"/>
      <c r="BH292" s="821"/>
    </row>
    <row r="293" spans="1:60" s="57" customFormat="1" hidden="1" outlineLevel="1" x14ac:dyDescent="0.25">
      <c r="A293" s="367" t="s">
        <v>502</v>
      </c>
      <c r="B293" s="442"/>
      <c r="C293" s="864"/>
      <c r="D293" s="864"/>
      <c r="E293" s="864"/>
      <c r="F293" s="864"/>
      <c r="G293" s="867"/>
      <c r="H293" s="867"/>
      <c r="I293" s="867"/>
      <c r="J293" s="867"/>
      <c r="K293" s="864"/>
      <c r="L293" s="867"/>
      <c r="M293" s="867"/>
      <c r="N293" s="867"/>
      <c r="O293" s="867"/>
      <c r="P293" s="864"/>
      <c r="Q293" s="867"/>
      <c r="R293" s="867"/>
      <c r="S293" s="867"/>
      <c r="T293" s="867"/>
      <c r="U293" s="864"/>
      <c r="V293" s="867"/>
      <c r="W293" s="867"/>
      <c r="X293" s="867"/>
      <c r="Y293" s="867"/>
      <c r="Z293" s="864"/>
      <c r="AA293" s="867"/>
      <c r="AB293" s="867"/>
      <c r="AC293" s="867"/>
      <c r="AD293" s="867"/>
      <c r="AE293" s="864"/>
      <c r="AF293" s="867"/>
      <c r="AG293" s="867"/>
      <c r="AH293" s="867"/>
      <c r="AI293" s="867"/>
      <c r="AJ293" s="865">
        <f t="shared" ref="AJ293:AR293" si="201">AJ294-SUM(AJ290:AJ292)</f>
        <v>23.250999999999976</v>
      </c>
      <c r="AK293" s="866">
        <f t="shared" si="201"/>
        <v>2.3400000000000034</v>
      </c>
      <c r="AL293" s="866">
        <f t="shared" si="201"/>
        <v>4.1330000000000098</v>
      </c>
      <c r="AM293" s="866">
        <f t="shared" si="201"/>
        <v>5.5460000000000207</v>
      </c>
      <c r="AN293" s="866">
        <f t="shared" si="201"/>
        <v>-0.94400000000004525</v>
      </c>
      <c r="AO293" s="865">
        <f t="shared" si="201"/>
        <v>11.075000000000045</v>
      </c>
      <c r="AP293" s="866">
        <f t="shared" si="201"/>
        <v>4.1349999999999909</v>
      </c>
      <c r="AQ293" s="866">
        <f t="shared" si="201"/>
        <v>12.578999999999951</v>
      </c>
      <c r="AR293" s="866">
        <f t="shared" si="201"/>
        <v>6.4500000000000455</v>
      </c>
      <c r="AS293" s="867"/>
      <c r="AT293" s="865">
        <f>AT294-SUM(AT290:AT292)</f>
        <v>34.116999999999962</v>
      </c>
      <c r="AU293" s="867">
        <f>AU294-SUM(AU290:AU292)</f>
        <v>2.1090000000000373</v>
      </c>
      <c r="AV293" s="867">
        <f>AV294-SUM(AV290:AV292)</f>
        <v>14.609000000000037</v>
      </c>
      <c r="AW293" s="868">
        <f>AW294-SUM(AW290:AW292)</f>
        <v>7.1659999999999968</v>
      </c>
      <c r="AX293" s="867"/>
      <c r="AY293" s="864"/>
      <c r="AZ293" s="867"/>
      <c r="BA293" s="867"/>
      <c r="BB293" s="867"/>
      <c r="BC293" s="867"/>
      <c r="BD293" s="864"/>
      <c r="BE293" s="864"/>
      <c r="BF293" s="864"/>
      <c r="BG293" s="864"/>
      <c r="BH293" s="821"/>
    </row>
    <row r="294" spans="1:60" s="57" customFormat="1" hidden="1" outlineLevel="1" x14ac:dyDescent="0.25">
      <c r="A294" s="61" t="s">
        <v>503</v>
      </c>
      <c r="B294" s="492"/>
      <c r="C294" s="869"/>
      <c r="D294" s="869"/>
      <c r="E294" s="869"/>
      <c r="F294" s="869"/>
      <c r="G294" s="870"/>
      <c r="H294" s="870"/>
      <c r="I294" s="870"/>
      <c r="J294" s="870"/>
      <c r="K294" s="869"/>
      <c r="L294" s="870"/>
      <c r="M294" s="870"/>
      <c r="N294" s="870"/>
      <c r="O294" s="870"/>
      <c r="P294" s="869"/>
      <c r="Q294" s="870"/>
      <c r="R294" s="870"/>
      <c r="S294" s="870"/>
      <c r="T294" s="870"/>
      <c r="U294" s="869"/>
      <c r="V294" s="870"/>
      <c r="W294" s="870"/>
      <c r="X294" s="870"/>
      <c r="Y294" s="870"/>
      <c r="Z294" s="869"/>
      <c r="AA294" s="870"/>
      <c r="AB294" s="870"/>
      <c r="AC294" s="870"/>
      <c r="AD294" s="870"/>
      <c r="AE294" s="869"/>
      <c r="AF294" s="870"/>
      <c r="AG294" s="870"/>
      <c r="AH294" s="870"/>
      <c r="AI294" s="870"/>
      <c r="AJ294" s="872">
        <f t="shared" ref="AJ294:AQ294" si="202">AJ341</f>
        <v>630.29399999999998</v>
      </c>
      <c r="AK294" s="871">
        <f t="shared" si="202"/>
        <v>201.952</v>
      </c>
      <c r="AL294" s="871">
        <f t="shared" si="202"/>
        <v>224.65700000000001</v>
      </c>
      <c r="AM294" s="871">
        <f t="shared" si="202"/>
        <v>233.17400000000001</v>
      </c>
      <c r="AN294" s="871">
        <f t="shared" si="202"/>
        <v>254.58599999999998</v>
      </c>
      <c r="AO294" s="872">
        <f t="shared" si="202"/>
        <v>914.36900000000003</v>
      </c>
      <c r="AP294" s="871">
        <f t="shared" si="202"/>
        <v>252.08699999999999</v>
      </c>
      <c r="AQ294" s="871">
        <f t="shared" si="202"/>
        <v>277.23599999999999</v>
      </c>
      <c r="AR294" s="871">
        <f t="shared" ref="AR294:AT294" si="203">AR341</f>
        <v>271.62400000000002</v>
      </c>
      <c r="AS294" s="870"/>
      <c r="AT294" s="872">
        <f t="shared" si="203"/>
        <v>1076.4860000000001</v>
      </c>
      <c r="AU294" s="870">
        <f t="shared" ref="AU294:AV294" si="204">AU341</f>
        <v>297.19600000000003</v>
      </c>
      <c r="AV294" s="870">
        <f t="shared" si="204"/>
        <v>334.84500000000003</v>
      </c>
      <c r="AW294" s="887">
        <f t="shared" ref="AW294" si="205">AW341</f>
        <v>321.79000000000002</v>
      </c>
      <c r="AX294" s="870"/>
      <c r="AY294" s="869"/>
      <c r="AZ294" s="870"/>
      <c r="BA294" s="870"/>
      <c r="BB294" s="870"/>
      <c r="BC294" s="870"/>
      <c r="BD294" s="869"/>
      <c r="BE294" s="869"/>
      <c r="BF294" s="869"/>
      <c r="BG294" s="869"/>
      <c r="BH294" s="821"/>
    </row>
    <row r="295" spans="1:60" s="57" customFormat="1" hidden="1" outlineLevel="1" x14ac:dyDescent="0.25">
      <c r="A295" s="494"/>
      <c r="B295" s="493"/>
      <c r="C295" s="874"/>
      <c r="D295" s="874"/>
      <c r="E295" s="874"/>
      <c r="F295" s="874"/>
      <c r="G295" s="879"/>
      <c r="H295" s="879"/>
      <c r="I295" s="879"/>
      <c r="J295" s="879"/>
      <c r="K295" s="874"/>
      <c r="L295" s="879"/>
      <c r="M295" s="879"/>
      <c r="N295" s="879"/>
      <c r="O295" s="879"/>
      <c r="P295" s="874"/>
      <c r="Q295" s="879"/>
      <c r="R295" s="879"/>
      <c r="S295" s="879"/>
      <c r="T295" s="879"/>
      <c r="U295" s="874"/>
      <c r="V295" s="879"/>
      <c r="W295" s="879"/>
      <c r="X295" s="879"/>
      <c r="Y295" s="879"/>
      <c r="Z295" s="874"/>
      <c r="AA295" s="879"/>
      <c r="AB295" s="879"/>
      <c r="AC295" s="879"/>
      <c r="AD295" s="879"/>
      <c r="AE295" s="874"/>
      <c r="AF295" s="879"/>
      <c r="AG295" s="879"/>
      <c r="AH295" s="879"/>
      <c r="AI295" s="879"/>
      <c r="AJ295" s="874"/>
      <c r="AK295" s="879"/>
      <c r="AL295" s="879"/>
      <c r="AM295" s="879"/>
      <c r="AN295" s="879"/>
      <c r="AO295" s="874"/>
      <c r="AP295" s="879"/>
      <c r="AQ295" s="879"/>
      <c r="AR295" s="879"/>
      <c r="AS295" s="879"/>
      <c r="AT295" s="874"/>
      <c r="AU295" s="879"/>
      <c r="AV295" s="879"/>
      <c r="AW295" s="880"/>
      <c r="AX295" s="879"/>
      <c r="AY295" s="874"/>
      <c r="AZ295" s="879"/>
      <c r="BA295" s="879"/>
      <c r="BB295" s="879"/>
      <c r="BC295" s="879"/>
      <c r="BD295" s="874"/>
      <c r="BE295" s="874"/>
      <c r="BF295" s="874"/>
      <c r="BG295" s="874"/>
      <c r="BH295" s="821"/>
    </row>
    <row r="296" spans="1:60" customFormat="1" hidden="1" outlineLevel="1" x14ac:dyDescent="0.25">
      <c r="A296" s="63" t="s">
        <v>436</v>
      </c>
      <c r="B296" s="493"/>
      <c r="C296" s="874"/>
      <c r="D296" s="874"/>
      <c r="E296" s="874"/>
      <c r="F296" s="874"/>
      <c r="G296" s="879"/>
      <c r="H296" s="879"/>
      <c r="I296" s="879"/>
      <c r="J296" s="879"/>
      <c r="K296" s="874"/>
      <c r="L296" s="879"/>
      <c r="M296" s="879"/>
      <c r="N296" s="879"/>
      <c r="O296" s="879"/>
      <c r="P296" s="875">
        <f>'Supplemental Data'!K35</f>
        <v>1863.376</v>
      </c>
      <c r="Q296" s="879"/>
      <c r="R296" s="879"/>
      <c r="S296" s="879"/>
      <c r="T296" s="879"/>
      <c r="U296" s="875">
        <f>'Supplemental Data'!P35</f>
        <v>2201.761</v>
      </c>
      <c r="V296" s="879"/>
      <c r="W296" s="879"/>
      <c r="X296" s="879"/>
      <c r="Y296" s="879"/>
      <c r="Z296" s="875">
        <f>'Supplemental Data'!U35</f>
        <v>2487.1930000000002</v>
      </c>
      <c r="AA296" s="876">
        <f>'Supplemental Data'!V35</f>
        <v>687.75599999999997</v>
      </c>
      <c r="AB296" s="876">
        <f>'Supplemental Data'!W35</f>
        <v>729.399</v>
      </c>
      <c r="AC296" s="876">
        <f>'Supplemental Data'!X35</f>
        <v>746.22</v>
      </c>
      <c r="AD296" s="876">
        <f>'Supplemental Data'!Y35</f>
        <v>788.59799999999996</v>
      </c>
      <c r="AE296" s="875">
        <f>'Supplemental Data'!Z35</f>
        <v>2951.973</v>
      </c>
      <c r="AF296" s="876">
        <f>'Supplemental Data'!AA35</f>
        <v>783.95399999999995</v>
      </c>
      <c r="AG296" s="876">
        <f>'Supplemental Data'!AB35</f>
        <v>868.53</v>
      </c>
      <c r="AH296" s="876">
        <f>'Supplemental Data'!AC35</f>
        <v>902.27499999999998</v>
      </c>
      <c r="AI296" s="876">
        <f>'Supplemental Data'!AD35</f>
        <v>916.1</v>
      </c>
      <c r="AJ296" s="875">
        <f>'Supplemental Data'!AE35</f>
        <v>3470.8589999999999</v>
      </c>
      <c r="AK296" s="876">
        <f>'Supplemental Data'!AF35</f>
        <v>936.48</v>
      </c>
      <c r="AL296" s="876">
        <f>'Supplemental Data'!AG35</f>
        <v>969.995</v>
      </c>
      <c r="AM296" s="876">
        <f>'Supplemental Data'!AH35</f>
        <v>1038.473</v>
      </c>
      <c r="AN296" s="879"/>
      <c r="AO296" s="874"/>
      <c r="AP296" s="879"/>
      <c r="AQ296" s="879"/>
      <c r="AR296" s="879"/>
      <c r="AS296" s="879"/>
      <c r="AT296" s="874"/>
      <c r="AU296" s="879"/>
      <c r="AV296" s="879"/>
      <c r="AW296" s="880"/>
      <c r="AX296" s="879"/>
      <c r="AY296" s="874"/>
      <c r="AZ296" s="879"/>
      <c r="BA296" s="879"/>
      <c r="BB296" s="879"/>
      <c r="BC296" s="879"/>
      <c r="BD296" s="874"/>
      <c r="BE296" s="874"/>
      <c r="BF296" s="874"/>
      <c r="BG296" s="874"/>
      <c r="BH296" s="824"/>
    </row>
    <row r="297" spans="1:60" customFormat="1" hidden="1" outlineLevel="1" x14ac:dyDescent="0.25">
      <c r="A297" s="367" t="s">
        <v>440</v>
      </c>
      <c r="B297" s="442"/>
      <c r="C297" s="864"/>
      <c r="D297" s="864"/>
      <c r="E297" s="864"/>
      <c r="F297" s="864"/>
      <c r="G297" s="867"/>
      <c r="H297" s="867"/>
      <c r="I297" s="867"/>
      <c r="J297" s="867"/>
      <c r="K297" s="864"/>
      <c r="L297" s="867"/>
      <c r="M297" s="867"/>
      <c r="N297" s="867"/>
      <c r="O297" s="867"/>
      <c r="P297" s="865">
        <v>242.3</v>
      </c>
      <c r="Q297" s="867"/>
      <c r="R297" s="867"/>
      <c r="S297" s="867"/>
      <c r="T297" s="867"/>
      <c r="U297" s="865">
        <v>208.1</v>
      </c>
      <c r="V297" s="867"/>
      <c r="W297" s="867"/>
      <c r="X297" s="867"/>
      <c r="Y297" s="867"/>
      <c r="Z297" s="865">
        <v>335.4</v>
      </c>
      <c r="AA297" s="866">
        <v>80.400000000000006</v>
      </c>
      <c r="AB297" s="866">
        <v>114.6</v>
      </c>
      <c r="AC297" s="866">
        <v>136.5</v>
      </c>
      <c r="AD297" s="866">
        <f>AE297-AC297-AB297-AA297</f>
        <v>87.5</v>
      </c>
      <c r="AE297" s="865">
        <v>419</v>
      </c>
      <c r="AF297" s="866">
        <v>121.5</v>
      </c>
      <c r="AG297" s="866">
        <v>55.3</v>
      </c>
      <c r="AH297" s="866">
        <v>73.099999999999994</v>
      </c>
      <c r="AI297" s="866">
        <f>AJ297-AH297-AG297-AF297</f>
        <v>108.09999999999997</v>
      </c>
      <c r="AJ297" s="865">
        <v>358</v>
      </c>
      <c r="AK297" s="866">
        <v>134</v>
      </c>
      <c r="AL297" s="866">
        <v>165</v>
      </c>
      <c r="AM297" s="866">
        <v>112</v>
      </c>
      <c r="AN297" s="867"/>
      <c r="AO297" s="864"/>
      <c r="AP297" s="867"/>
      <c r="AQ297" s="867"/>
      <c r="AR297" s="867"/>
      <c r="AS297" s="867"/>
      <c r="AT297" s="864"/>
      <c r="AU297" s="867"/>
      <c r="AV297" s="867"/>
      <c r="AW297" s="868"/>
      <c r="AX297" s="867"/>
      <c r="AY297" s="864"/>
      <c r="AZ297" s="867"/>
      <c r="BA297" s="867"/>
      <c r="BB297" s="867"/>
      <c r="BC297" s="867"/>
      <c r="BD297" s="864"/>
      <c r="BE297" s="864"/>
      <c r="BF297" s="864"/>
      <c r="BG297" s="864"/>
      <c r="BH297" s="821"/>
    </row>
    <row r="298" spans="1:60" customFormat="1" hidden="1" outlineLevel="1" x14ac:dyDescent="0.25">
      <c r="A298" s="367" t="s">
        <v>441</v>
      </c>
      <c r="B298" s="442"/>
      <c r="C298" s="864"/>
      <c r="D298" s="864"/>
      <c r="E298" s="864"/>
      <c r="F298" s="864"/>
      <c r="G298" s="867"/>
      <c r="H298" s="867"/>
      <c r="I298" s="867"/>
      <c r="J298" s="867"/>
      <c r="K298" s="864"/>
      <c r="L298" s="867"/>
      <c r="M298" s="867"/>
      <c r="N298" s="867"/>
      <c r="O298" s="867"/>
      <c r="P298" s="865">
        <v>59.5</v>
      </c>
      <c r="Q298" s="867"/>
      <c r="R298" s="867"/>
      <c r="S298" s="867"/>
      <c r="T298" s="867"/>
      <c r="U298" s="865">
        <v>37.9</v>
      </c>
      <c r="V298" s="867"/>
      <c r="W298" s="867"/>
      <c r="X298" s="867"/>
      <c r="Y298" s="867"/>
      <c r="Z298" s="864"/>
      <c r="AA298" s="867"/>
      <c r="AB298" s="867"/>
      <c r="AC298" s="867"/>
      <c r="AD298" s="867"/>
      <c r="AE298" s="864"/>
      <c r="AF298" s="867"/>
      <c r="AG298" s="867"/>
      <c r="AH298" s="867"/>
      <c r="AI298" s="867"/>
      <c r="AJ298" s="864"/>
      <c r="AK298" s="867"/>
      <c r="AL298" s="867"/>
      <c r="AM298" s="867"/>
      <c r="AN298" s="867"/>
      <c r="AO298" s="864"/>
      <c r="AP298" s="867"/>
      <c r="AQ298" s="867"/>
      <c r="AR298" s="867"/>
      <c r="AS298" s="867"/>
      <c r="AT298" s="864"/>
      <c r="AU298" s="867"/>
      <c r="AV298" s="867"/>
      <c r="AW298" s="868"/>
      <c r="AX298" s="867"/>
      <c r="AY298" s="864"/>
      <c r="AZ298" s="867"/>
      <c r="BA298" s="867"/>
      <c r="BB298" s="867"/>
      <c r="BC298" s="867"/>
      <c r="BD298" s="864"/>
      <c r="BE298" s="864"/>
      <c r="BF298" s="864"/>
      <c r="BG298" s="864"/>
      <c r="BH298" s="821"/>
    </row>
    <row r="299" spans="1:60" customFormat="1" hidden="1" outlineLevel="1" x14ac:dyDescent="0.25">
      <c r="A299" s="367" t="s">
        <v>442</v>
      </c>
      <c r="B299" s="442"/>
      <c r="C299" s="864"/>
      <c r="D299" s="864"/>
      <c r="E299" s="864"/>
      <c r="F299" s="864"/>
      <c r="G299" s="867"/>
      <c r="H299" s="867"/>
      <c r="I299" s="867"/>
      <c r="J299" s="867"/>
      <c r="K299" s="864"/>
      <c r="L299" s="867"/>
      <c r="M299" s="867"/>
      <c r="N299" s="867"/>
      <c r="O299" s="867"/>
      <c r="P299" s="865">
        <v>36.6</v>
      </c>
      <c r="Q299" s="867"/>
      <c r="R299" s="867"/>
      <c r="S299" s="867"/>
      <c r="T299" s="867"/>
      <c r="U299" s="865">
        <v>39.4</v>
      </c>
      <c r="V299" s="867"/>
      <c r="W299" s="867"/>
      <c r="X299" s="867"/>
      <c r="Y299" s="867"/>
      <c r="Z299" s="865">
        <v>33.200000000000003</v>
      </c>
      <c r="AA299" s="866">
        <v>0</v>
      </c>
      <c r="AB299" s="866">
        <v>0</v>
      </c>
      <c r="AC299" s="866">
        <v>0</v>
      </c>
      <c r="AD299" s="866">
        <f>AE299-AC299-AB299-AA299</f>
        <v>100</v>
      </c>
      <c r="AE299" s="865">
        <v>100</v>
      </c>
      <c r="AF299" s="866">
        <v>23.9</v>
      </c>
      <c r="AG299" s="866">
        <v>38.4</v>
      </c>
      <c r="AH299" s="866">
        <v>54.3</v>
      </c>
      <c r="AI299" s="866">
        <f>AJ299-AH299-AG299-AF299</f>
        <v>93.399999999999977</v>
      </c>
      <c r="AJ299" s="865">
        <v>210</v>
      </c>
      <c r="AK299" s="866">
        <v>69</v>
      </c>
      <c r="AL299" s="866">
        <v>61</v>
      </c>
      <c r="AM299" s="866">
        <v>60</v>
      </c>
      <c r="AN299" s="867"/>
      <c r="AO299" s="864"/>
      <c r="AP299" s="867"/>
      <c r="AQ299" s="867"/>
      <c r="AR299" s="867"/>
      <c r="AS299" s="867"/>
      <c r="AT299" s="864"/>
      <c r="AU299" s="867"/>
      <c r="AV299" s="867"/>
      <c r="AW299" s="868"/>
      <c r="AX299" s="867"/>
      <c r="AY299" s="864"/>
      <c r="AZ299" s="867"/>
      <c r="BA299" s="867"/>
      <c r="BB299" s="867"/>
      <c r="BC299" s="867"/>
      <c r="BD299" s="864"/>
      <c r="BE299" s="864"/>
      <c r="BF299" s="864"/>
      <c r="BG299" s="864"/>
      <c r="BH299" s="821"/>
    </row>
    <row r="300" spans="1:60" customFormat="1" hidden="1" outlineLevel="1" x14ac:dyDescent="0.25">
      <c r="A300" s="367" t="s">
        <v>443</v>
      </c>
      <c r="B300" s="442"/>
      <c r="C300" s="864"/>
      <c r="D300" s="864"/>
      <c r="E300" s="864"/>
      <c r="F300" s="864"/>
      <c r="G300" s="867"/>
      <c r="H300" s="867"/>
      <c r="I300" s="867"/>
      <c r="J300" s="867"/>
      <c r="K300" s="864"/>
      <c r="L300" s="867"/>
      <c r="M300" s="867"/>
      <c r="N300" s="867"/>
      <c r="O300" s="867"/>
      <c r="P300" s="865">
        <f>P301-SUM(P296:P299)</f>
        <v>-1.4999999999872671E-2</v>
      </c>
      <c r="Q300" s="867"/>
      <c r="R300" s="867"/>
      <c r="S300" s="867"/>
      <c r="T300" s="867"/>
      <c r="U300" s="865">
        <f>U301-SUM(U296:U299)</f>
        <v>3.2000000000152795E-2</v>
      </c>
      <c r="V300" s="867"/>
      <c r="W300" s="867"/>
      <c r="X300" s="867"/>
      <c r="Y300" s="867"/>
      <c r="Z300" s="865">
        <f t="shared" ref="Z300:AM300" si="206">Z301-SUM(Z296:Z299)</f>
        <v>96.179999999999836</v>
      </c>
      <c r="AA300" s="866">
        <f t="shared" si="206"/>
        <v>15.798000000000002</v>
      </c>
      <c r="AB300" s="866">
        <f t="shared" si="206"/>
        <v>24.530999999999949</v>
      </c>
      <c r="AC300" s="866">
        <f t="shared" si="206"/>
        <v>19.55499999999995</v>
      </c>
      <c r="AD300" s="866">
        <f t="shared" si="206"/>
        <v>-59.997999999999934</v>
      </c>
      <c r="AE300" s="865">
        <f t="shared" si="206"/>
        <v>-0.11400000000003274</v>
      </c>
      <c r="AF300" s="866">
        <f t="shared" si="206"/>
        <v>7.12600000000009</v>
      </c>
      <c r="AG300" s="866">
        <f t="shared" si="206"/>
        <v>7.7650000000001</v>
      </c>
      <c r="AH300" s="866">
        <f t="shared" si="206"/>
        <v>8.7980000000000018</v>
      </c>
      <c r="AI300" s="866">
        <f t="shared" si="206"/>
        <v>-24.153999999999996</v>
      </c>
      <c r="AJ300" s="865">
        <f t="shared" si="206"/>
        <v>-0.46500000000014552</v>
      </c>
      <c r="AK300" s="885">
        <f t="shared" si="206"/>
        <v>5.5000000000063665E-2</v>
      </c>
      <c r="AL300" s="866">
        <f t="shared" si="206"/>
        <v>0.4250000000001819</v>
      </c>
      <c r="AM300" s="866">
        <f t="shared" si="206"/>
        <v>-0.36799999999993815</v>
      </c>
      <c r="AN300" s="867"/>
      <c r="AO300" s="864"/>
      <c r="AP300" s="882"/>
      <c r="AQ300" s="867"/>
      <c r="AR300" s="867"/>
      <c r="AS300" s="867"/>
      <c r="AT300" s="864"/>
      <c r="AU300" s="882"/>
      <c r="AV300" s="867"/>
      <c r="AW300" s="868"/>
      <c r="AX300" s="867"/>
      <c r="AY300" s="864"/>
      <c r="AZ300" s="867"/>
      <c r="BA300" s="867"/>
      <c r="BB300" s="867"/>
      <c r="BC300" s="867"/>
      <c r="BD300" s="864"/>
      <c r="BE300" s="864"/>
      <c r="BF300" s="864"/>
      <c r="BG300" s="864"/>
      <c r="BH300" s="821"/>
    </row>
    <row r="301" spans="1:60" customFormat="1" hidden="1" outlineLevel="1" x14ac:dyDescent="0.25">
      <c r="A301" s="61" t="s">
        <v>437</v>
      </c>
      <c r="B301" s="492"/>
      <c r="C301" s="869"/>
      <c r="D301" s="869"/>
      <c r="E301" s="869"/>
      <c r="F301" s="869"/>
      <c r="G301" s="870"/>
      <c r="H301" s="870"/>
      <c r="I301" s="870"/>
      <c r="J301" s="870"/>
      <c r="K301" s="869"/>
      <c r="L301" s="870"/>
      <c r="M301" s="870"/>
      <c r="N301" s="870"/>
      <c r="O301" s="870"/>
      <c r="P301" s="872">
        <f>'Supplemental Data'!P35</f>
        <v>2201.761</v>
      </c>
      <c r="Q301" s="870"/>
      <c r="R301" s="870"/>
      <c r="S301" s="870"/>
      <c r="T301" s="870"/>
      <c r="U301" s="872">
        <f>'Supplemental Data'!U35</f>
        <v>2487.1930000000002</v>
      </c>
      <c r="V301" s="870"/>
      <c r="W301" s="870"/>
      <c r="X301" s="870"/>
      <c r="Y301" s="870"/>
      <c r="Z301" s="872">
        <f>'Supplemental Data'!Z35</f>
        <v>2951.973</v>
      </c>
      <c r="AA301" s="871">
        <f>'Supplemental Data'!AA35</f>
        <v>783.95399999999995</v>
      </c>
      <c r="AB301" s="871">
        <f>'Supplemental Data'!AB35</f>
        <v>868.53</v>
      </c>
      <c r="AC301" s="871">
        <f>'Supplemental Data'!AC35</f>
        <v>902.27499999999998</v>
      </c>
      <c r="AD301" s="871">
        <f>'Supplemental Data'!AD35</f>
        <v>916.1</v>
      </c>
      <c r="AE301" s="872">
        <f>'Supplemental Data'!AE35</f>
        <v>3470.8589999999999</v>
      </c>
      <c r="AF301" s="871">
        <f>'Supplemental Data'!AF35</f>
        <v>936.48</v>
      </c>
      <c r="AG301" s="871">
        <f>'Supplemental Data'!AG35</f>
        <v>969.995</v>
      </c>
      <c r="AH301" s="871">
        <f>'Supplemental Data'!AH35</f>
        <v>1038.473</v>
      </c>
      <c r="AI301" s="871">
        <f>'Supplemental Data'!AI35</f>
        <v>1093.4459999999999</v>
      </c>
      <c r="AJ301" s="872">
        <f>'Supplemental Data'!AJ35</f>
        <v>4038.3939999999998</v>
      </c>
      <c r="AK301" s="871">
        <f>'Supplemental Data'!AK35</f>
        <v>1139.5350000000001</v>
      </c>
      <c r="AL301" s="871">
        <f>'Supplemental Data'!AL35</f>
        <v>1196.42</v>
      </c>
      <c r="AM301" s="871">
        <f>'Supplemental Data'!AM35</f>
        <v>1210.105</v>
      </c>
      <c r="AN301" s="870"/>
      <c r="AO301" s="869"/>
      <c r="AP301" s="870"/>
      <c r="AQ301" s="870"/>
      <c r="AR301" s="870"/>
      <c r="AS301" s="870"/>
      <c r="AT301" s="869"/>
      <c r="AU301" s="870"/>
      <c r="AV301" s="870"/>
      <c r="AW301" s="887"/>
      <c r="AX301" s="870"/>
      <c r="AY301" s="869"/>
      <c r="AZ301" s="870"/>
      <c r="BA301" s="870"/>
      <c r="BB301" s="870"/>
      <c r="BC301" s="870"/>
      <c r="BD301" s="869"/>
      <c r="BE301" s="869"/>
      <c r="BF301" s="869"/>
      <c r="BG301" s="869"/>
      <c r="BH301" s="821"/>
    </row>
    <row r="302" spans="1:60" customFormat="1" hidden="1" outlineLevel="1" x14ac:dyDescent="0.25">
      <c r="A302" s="495"/>
      <c r="B302" s="442"/>
      <c r="C302" s="864"/>
      <c r="D302" s="864"/>
      <c r="E302" s="864"/>
      <c r="F302" s="864"/>
      <c r="G302" s="867"/>
      <c r="H302" s="867"/>
      <c r="I302" s="867"/>
      <c r="J302" s="867"/>
      <c r="K302" s="864"/>
      <c r="L302" s="867"/>
      <c r="M302" s="867"/>
      <c r="N302" s="867"/>
      <c r="O302" s="867"/>
      <c r="P302" s="864"/>
      <c r="Q302" s="867"/>
      <c r="R302" s="867"/>
      <c r="S302" s="867"/>
      <c r="T302" s="867"/>
      <c r="U302" s="864"/>
      <c r="V302" s="867"/>
      <c r="W302" s="867"/>
      <c r="X302" s="867"/>
      <c r="Y302" s="867"/>
      <c r="Z302" s="864"/>
      <c r="AA302" s="867"/>
      <c r="AB302" s="867"/>
      <c r="AC302" s="867"/>
      <c r="AD302" s="867"/>
      <c r="AE302" s="864"/>
      <c r="AF302" s="867"/>
      <c r="AG302" s="867"/>
      <c r="AH302" s="867"/>
      <c r="AI302" s="867"/>
      <c r="AJ302" s="864"/>
      <c r="AK302" s="867"/>
      <c r="AL302" s="867"/>
      <c r="AM302" s="867"/>
      <c r="AN302" s="867"/>
      <c r="AO302" s="864"/>
      <c r="AP302" s="867"/>
      <c r="AQ302" s="867"/>
      <c r="AR302" s="867"/>
      <c r="AS302" s="867"/>
      <c r="AT302" s="864"/>
      <c r="AU302" s="867"/>
      <c r="AV302" s="867"/>
      <c r="AW302" s="868"/>
      <c r="AX302" s="867"/>
      <c r="AY302" s="864"/>
      <c r="AZ302" s="867"/>
      <c r="BA302" s="867"/>
      <c r="BB302" s="867"/>
      <c r="BC302" s="867"/>
      <c r="BD302" s="864"/>
      <c r="BE302" s="864"/>
      <c r="BF302" s="864"/>
      <c r="BG302" s="864"/>
      <c r="BH302" s="821"/>
    </row>
    <row r="303" spans="1:60" customFormat="1" hidden="1" outlineLevel="1" x14ac:dyDescent="0.25">
      <c r="A303" s="63" t="s">
        <v>438</v>
      </c>
      <c r="B303" s="493"/>
      <c r="C303" s="874"/>
      <c r="D303" s="874"/>
      <c r="E303" s="874"/>
      <c r="F303" s="874"/>
      <c r="G303" s="879"/>
      <c r="H303" s="879"/>
      <c r="I303" s="879"/>
      <c r="J303" s="879"/>
      <c r="K303" s="874"/>
      <c r="L303" s="879"/>
      <c r="M303" s="879"/>
      <c r="N303" s="879"/>
      <c r="O303" s="879"/>
      <c r="P303" s="875">
        <f>'Supplemental Data'!K36</f>
        <v>782.30399999999997</v>
      </c>
      <c r="Q303" s="879"/>
      <c r="R303" s="879"/>
      <c r="S303" s="879"/>
      <c r="T303" s="879"/>
      <c r="U303" s="875">
        <f>'Supplemental Data'!P36</f>
        <v>1154.117</v>
      </c>
      <c r="V303" s="879"/>
      <c r="W303" s="879"/>
      <c r="X303" s="879"/>
      <c r="Y303" s="879"/>
      <c r="Z303" s="875">
        <f>'Supplemental Data'!U36</f>
        <v>1780.375</v>
      </c>
      <c r="AA303" s="876">
        <f>'Supplemental Data'!V36</f>
        <v>657.73</v>
      </c>
      <c r="AB303" s="876">
        <f>'Supplemental Data'!W36</f>
        <v>728.16800000000001</v>
      </c>
      <c r="AC303" s="876">
        <f>'Supplemental Data'!X36</f>
        <v>783.87699999999995</v>
      </c>
      <c r="AD303" s="876">
        <f>'Supplemental Data'!Y36</f>
        <v>872.97199999999998</v>
      </c>
      <c r="AE303" s="875">
        <f>'Supplemental Data'!Z36</f>
        <v>3042.7469999999998</v>
      </c>
      <c r="AF303" s="876">
        <f>'Supplemental Data'!AA36</f>
        <v>896.55799999999999</v>
      </c>
      <c r="AG303" s="876">
        <f>'Supplemental Data'!AB36</f>
        <v>1070.432</v>
      </c>
      <c r="AH303" s="876">
        <f>'Supplemental Data'!AC36</f>
        <v>1136.877</v>
      </c>
      <c r="AI303" s="876">
        <f>'Supplemental Data'!AD36</f>
        <v>1255.749</v>
      </c>
      <c r="AJ303" s="875">
        <f>'Supplemental Data'!AE36</f>
        <v>4359.616</v>
      </c>
      <c r="AK303" s="876">
        <f>'Supplemental Data'!AF36</f>
        <v>1321.7059999999999</v>
      </c>
      <c r="AL303" s="876">
        <f>'Supplemental Data'!AG36</f>
        <v>1392.5119999999999</v>
      </c>
      <c r="AM303" s="876">
        <f>'Supplemental Data'!AH36</f>
        <v>1455.5540000000001</v>
      </c>
      <c r="AN303" s="879"/>
      <c r="AO303" s="874"/>
      <c r="AP303" s="879"/>
      <c r="AQ303" s="879"/>
      <c r="AR303" s="879"/>
      <c r="AS303" s="879"/>
      <c r="AT303" s="874"/>
      <c r="AU303" s="879"/>
      <c r="AV303" s="879"/>
      <c r="AW303" s="880"/>
      <c r="AX303" s="879"/>
      <c r="AY303" s="874"/>
      <c r="AZ303" s="879"/>
      <c r="BA303" s="879"/>
      <c r="BB303" s="879"/>
      <c r="BC303" s="879"/>
      <c r="BD303" s="874"/>
      <c r="BE303" s="874"/>
      <c r="BF303" s="874"/>
      <c r="BG303" s="874"/>
      <c r="BH303" s="824"/>
    </row>
    <row r="304" spans="1:60" customFormat="1" hidden="1" outlineLevel="1" x14ac:dyDescent="0.25">
      <c r="A304" s="367" t="s">
        <v>444</v>
      </c>
      <c r="B304" s="442"/>
      <c r="C304" s="864"/>
      <c r="D304" s="864"/>
      <c r="E304" s="864"/>
      <c r="F304" s="864"/>
      <c r="G304" s="867"/>
      <c r="H304" s="867"/>
      <c r="I304" s="867"/>
      <c r="J304" s="867"/>
      <c r="K304" s="864"/>
      <c r="L304" s="867"/>
      <c r="M304" s="867"/>
      <c r="N304" s="867"/>
      <c r="O304" s="867"/>
      <c r="P304" s="865">
        <v>311.5</v>
      </c>
      <c r="Q304" s="867"/>
      <c r="R304" s="867"/>
      <c r="S304" s="867"/>
      <c r="T304" s="867"/>
      <c r="U304" s="865">
        <v>522.1</v>
      </c>
      <c r="V304" s="867"/>
      <c r="W304" s="867"/>
      <c r="X304" s="867"/>
      <c r="Y304" s="867"/>
      <c r="Z304" s="865">
        <v>998.5</v>
      </c>
      <c r="AA304" s="866">
        <v>187.1</v>
      </c>
      <c r="AB304" s="866">
        <v>284.3</v>
      </c>
      <c r="AC304" s="866">
        <v>298.3</v>
      </c>
      <c r="AD304" s="866">
        <f>AE304-AC304-AB304-AA304</f>
        <v>220.30000000000004</v>
      </c>
      <c r="AE304" s="865">
        <v>990</v>
      </c>
      <c r="AF304" s="866">
        <v>321.60000000000002</v>
      </c>
      <c r="AG304" s="866">
        <v>211.8</v>
      </c>
      <c r="AH304" s="866">
        <v>211.2</v>
      </c>
      <c r="AI304" s="866">
        <f>AJ304-AH304-AG304-AF304</f>
        <v>231.39999999999998</v>
      </c>
      <c r="AJ304" s="865">
        <v>976</v>
      </c>
      <c r="AK304" s="866">
        <v>242</v>
      </c>
      <c r="AL304" s="866">
        <v>250</v>
      </c>
      <c r="AM304" s="866">
        <v>256</v>
      </c>
      <c r="AN304" s="867"/>
      <c r="AO304" s="864"/>
      <c r="AP304" s="867"/>
      <c r="AQ304" s="867"/>
      <c r="AR304" s="867"/>
      <c r="AS304" s="867"/>
      <c r="AT304" s="864"/>
      <c r="AU304" s="867"/>
      <c r="AV304" s="867"/>
      <c r="AW304" s="868"/>
      <c r="AX304" s="867"/>
      <c r="AY304" s="864"/>
      <c r="AZ304" s="867"/>
      <c r="BA304" s="867"/>
      <c r="BB304" s="867"/>
      <c r="BC304" s="867"/>
      <c r="BD304" s="864"/>
      <c r="BE304" s="864"/>
      <c r="BF304" s="864"/>
      <c r="BG304" s="864"/>
      <c r="BH304" s="821"/>
    </row>
    <row r="305" spans="1:60" customFormat="1" hidden="1" outlineLevel="1" x14ac:dyDescent="0.25">
      <c r="A305" s="367" t="s">
        <v>445</v>
      </c>
      <c r="B305" s="442"/>
      <c r="C305" s="864"/>
      <c r="D305" s="864"/>
      <c r="E305" s="864"/>
      <c r="F305" s="864"/>
      <c r="G305" s="867"/>
      <c r="H305" s="867"/>
      <c r="I305" s="867"/>
      <c r="J305" s="867"/>
      <c r="K305" s="864"/>
      <c r="L305" s="867"/>
      <c r="M305" s="867"/>
      <c r="N305" s="867"/>
      <c r="O305" s="867"/>
      <c r="P305" s="865">
        <v>60.3</v>
      </c>
      <c r="Q305" s="867"/>
      <c r="R305" s="867"/>
      <c r="S305" s="867"/>
      <c r="T305" s="867"/>
      <c r="U305" s="865">
        <v>104.2</v>
      </c>
      <c r="V305" s="867"/>
      <c r="W305" s="867"/>
      <c r="X305" s="867"/>
      <c r="Y305" s="867"/>
      <c r="Z305" s="865">
        <v>132.5</v>
      </c>
      <c r="AA305" s="866">
        <v>30.3</v>
      </c>
      <c r="AB305" s="866">
        <v>35.1</v>
      </c>
      <c r="AC305" s="866">
        <v>34.700000000000003</v>
      </c>
      <c r="AD305" s="866">
        <f>AE305-AC305-AB305-AA305</f>
        <v>226.89999999999998</v>
      </c>
      <c r="AE305" s="865">
        <v>327</v>
      </c>
      <c r="AF305" s="866">
        <v>89.9</v>
      </c>
      <c r="AG305" s="866">
        <v>94.8</v>
      </c>
      <c r="AH305" s="866">
        <v>90.7</v>
      </c>
      <c r="AI305" s="866">
        <f>AJ305-AH305-AG305-AF305</f>
        <v>164.6</v>
      </c>
      <c r="AJ305" s="865">
        <v>440</v>
      </c>
      <c r="AK305" s="866">
        <v>133</v>
      </c>
      <c r="AL305" s="866">
        <v>136</v>
      </c>
      <c r="AM305" s="866">
        <v>148</v>
      </c>
      <c r="AN305" s="867"/>
      <c r="AO305" s="864"/>
      <c r="AP305" s="867"/>
      <c r="AQ305" s="867"/>
      <c r="AR305" s="867"/>
      <c r="AS305" s="867"/>
      <c r="AT305" s="864"/>
      <c r="AU305" s="867"/>
      <c r="AV305" s="867"/>
      <c r="AW305" s="868"/>
      <c r="AX305" s="867"/>
      <c r="AY305" s="864"/>
      <c r="AZ305" s="867"/>
      <c r="BA305" s="867"/>
      <c r="BB305" s="867"/>
      <c r="BC305" s="867"/>
      <c r="BD305" s="864"/>
      <c r="BE305" s="864"/>
      <c r="BF305" s="864"/>
      <c r="BG305" s="864"/>
      <c r="BH305" s="821"/>
    </row>
    <row r="306" spans="1:60" customFormat="1" hidden="1" outlineLevel="1" x14ac:dyDescent="0.25">
      <c r="A306" s="367" t="s">
        <v>446</v>
      </c>
      <c r="B306" s="442"/>
      <c r="C306" s="864"/>
      <c r="D306" s="864"/>
      <c r="E306" s="864"/>
      <c r="F306" s="864"/>
      <c r="G306" s="867"/>
      <c r="H306" s="867"/>
      <c r="I306" s="867"/>
      <c r="J306" s="867"/>
      <c r="K306" s="864"/>
      <c r="L306" s="867"/>
      <c r="M306" s="867"/>
      <c r="N306" s="867"/>
      <c r="O306" s="867"/>
      <c r="P306" s="865">
        <f>P307-SUM(P303:P305)</f>
        <v>1.2999999999919964E-2</v>
      </c>
      <c r="Q306" s="867"/>
      <c r="R306" s="867"/>
      <c r="S306" s="867"/>
      <c r="T306" s="867"/>
      <c r="U306" s="865">
        <f>U307-SUM(U303:U305)</f>
        <v>-4.20000000001437E-2</v>
      </c>
      <c r="V306" s="867"/>
      <c r="W306" s="867"/>
      <c r="X306" s="867"/>
      <c r="Y306" s="867"/>
      <c r="Z306" s="865">
        <f t="shared" ref="Z306:AM306" si="207">Z307-SUM(Z303:Z305)</f>
        <v>131.37199999999984</v>
      </c>
      <c r="AA306" s="866">
        <f t="shared" si="207"/>
        <v>21.427999999999997</v>
      </c>
      <c r="AB306" s="866">
        <f t="shared" si="207"/>
        <v>22.864000000000033</v>
      </c>
      <c r="AC306" s="866">
        <f t="shared" si="207"/>
        <v>20</v>
      </c>
      <c r="AD306" s="866">
        <f t="shared" si="207"/>
        <v>-64.423000000000002</v>
      </c>
      <c r="AE306" s="865">
        <f t="shared" si="207"/>
        <v>-0.13099999999940337</v>
      </c>
      <c r="AF306" s="866">
        <f t="shared" si="207"/>
        <v>13.647999999999911</v>
      </c>
      <c r="AG306" s="866">
        <f t="shared" si="207"/>
        <v>15.480000000000018</v>
      </c>
      <c r="AH306" s="866">
        <f t="shared" si="207"/>
        <v>16.777000000000044</v>
      </c>
      <c r="AI306" s="866">
        <f t="shared" si="207"/>
        <v>-45.473999999999705</v>
      </c>
      <c r="AJ306" s="865">
        <f t="shared" si="207"/>
        <v>0.43100000000049477</v>
      </c>
      <c r="AK306" s="866">
        <f t="shared" si="207"/>
        <v>0.41500000000019099</v>
      </c>
      <c r="AL306" s="866">
        <f t="shared" si="207"/>
        <v>0.37800000000015643</v>
      </c>
      <c r="AM306" s="866">
        <f t="shared" si="207"/>
        <v>0.46699999999987085</v>
      </c>
      <c r="AN306" s="867"/>
      <c r="AO306" s="864"/>
      <c r="AP306" s="867"/>
      <c r="AQ306" s="867"/>
      <c r="AR306" s="867"/>
      <c r="AS306" s="867"/>
      <c r="AT306" s="864"/>
      <c r="AU306" s="867"/>
      <c r="AV306" s="867"/>
      <c r="AW306" s="868"/>
      <c r="AX306" s="867"/>
      <c r="AY306" s="864"/>
      <c r="AZ306" s="867"/>
      <c r="BA306" s="867"/>
      <c r="BB306" s="867"/>
      <c r="BC306" s="867"/>
      <c r="BD306" s="864"/>
      <c r="BE306" s="864"/>
      <c r="BF306" s="864"/>
      <c r="BG306" s="864"/>
      <c r="BH306" s="821"/>
    </row>
    <row r="307" spans="1:60" customFormat="1" hidden="1" outlineLevel="1" x14ac:dyDescent="0.25">
      <c r="A307" s="61" t="s">
        <v>439</v>
      </c>
      <c r="B307" s="492"/>
      <c r="C307" s="869"/>
      <c r="D307" s="869"/>
      <c r="E307" s="869"/>
      <c r="F307" s="869"/>
      <c r="G307" s="870"/>
      <c r="H307" s="870"/>
      <c r="I307" s="870"/>
      <c r="J307" s="870"/>
      <c r="K307" s="869"/>
      <c r="L307" s="870"/>
      <c r="M307" s="870"/>
      <c r="N307" s="870"/>
      <c r="O307" s="870"/>
      <c r="P307" s="872">
        <f>'Supplemental Data'!P36</f>
        <v>1154.117</v>
      </c>
      <c r="Q307" s="870"/>
      <c r="R307" s="870"/>
      <c r="S307" s="870"/>
      <c r="T307" s="870"/>
      <c r="U307" s="872">
        <f>'Supplemental Data'!U36</f>
        <v>1780.375</v>
      </c>
      <c r="V307" s="870"/>
      <c r="W307" s="870"/>
      <c r="X307" s="870"/>
      <c r="Y307" s="870"/>
      <c r="Z307" s="872">
        <f>'Supplemental Data'!Z36</f>
        <v>3042.7469999999998</v>
      </c>
      <c r="AA307" s="871">
        <f>'Supplemental Data'!AA36</f>
        <v>896.55799999999999</v>
      </c>
      <c r="AB307" s="871">
        <f>'Supplemental Data'!AB36</f>
        <v>1070.432</v>
      </c>
      <c r="AC307" s="871">
        <f>'Supplemental Data'!AC36</f>
        <v>1136.877</v>
      </c>
      <c r="AD307" s="871">
        <f>'Supplemental Data'!AD36</f>
        <v>1255.749</v>
      </c>
      <c r="AE307" s="872">
        <f>'Supplemental Data'!AE36</f>
        <v>4359.616</v>
      </c>
      <c r="AF307" s="871">
        <f>'Supplemental Data'!AF36</f>
        <v>1321.7059999999999</v>
      </c>
      <c r="AG307" s="871">
        <f>'Supplemental Data'!AG36</f>
        <v>1392.5119999999999</v>
      </c>
      <c r="AH307" s="871">
        <f>'Supplemental Data'!AH36</f>
        <v>1455.5540000000001</v>
      </c>
      <c r="AI307" s="871">
        <f>'Supplemental Data'!AI36</f>
        <v>1606.2750000000001</v>
      </c>
      <c r="AJ307" s="872">
        <f>'Supplemental Data'!AJ36</f>
        <v>5776.0470000000005</v>
      </c>
      <c r="AK307" s="871">
        <f>'Supplemental Data'!AK36</f>
        <v>1697.1210000000001</v>
      </c>
      <c r="AL307" s="871">
        <f>'Supplemental Data'!AL36</f>
        <v>1778.89</v>
      </c>
      <c r="AM307" s="871">
        <f>'Supplemental Data'!AM36</f>
        <v>1860.021</v>
      </c>
      <c r="AN307" s="870"/>
      <c r="AO307" s="869"/>
      <c r="AP307" s="870"/>
      <c r="AQ307" s="870"/>
      <c r="AR307" s="870"/>
      <c r="AS307" s="870"/>
      <c r="AT307" s="869"/>
      <c r="AU307" s="870"/>
      <c r="AV307" s="870"/>
      <c r="AW307" s="887"/>
      <c r="AX307" s="870"/>
      <c r="AY307" s="869"/>
      <c r="AZ307" s="870"/>
      <c r="BA307" s="870"/>
      <c r="BB307" s="870"/>
      <c r="BC307" s="870"/>
      <c r="BD307" s="869"/>
      <c r="BE307" s="869"/>
      <c r="BF307" s="869"/>
      <c r="BG307" s="869"/>
      <c r="BH307" s="821"/>
    </row>
    <row r="308" spans="1:60" customFormat="1" collapsed="1" x14ac:dyDescent="0.25">
      <c r="A308" s="495"/>
      <c r="B308" s="442"/>
      <c r="C308" s="864"/>
      <c r="D308" s="864"/>
      <c r="E308" s="864"/>
      <c r="F308" s="864"/>
      <c r="G308" s="867"/>
      <c r="H308" s="867"/>
      <c r="I308" s="867"/>
      <c r="J308" s="867"/>
      <c r="K308" s="864"/>
      <c r="L308" s="867"/>
      <c r="M308" s="867"/>
      <c r="N308" s="867"/>
      <c r="O308" s="867"/>
      <c r="P308" s="864"/>
      <c r="Q308" s="867"/>
      <c r="R308" s="867"/>
      <c r="S308" s="867"/>
      <c r="T308" s="867"/>
      <c r="U308" s="864"/>
      <c r="V308" s="867"/>
      <c r="W308" s="867"/>
      <c r="X308" s="867"/>
      <c r="Y308" s="867"/>
      <c r="Z308" s="864"/>
      <c r="AA308" s="867"/>
      <c r="AB308" s="867"/>
      <c r="AC308" s="867"/>
      <c r="AD308" s="867"/>
      <c r="AE308" s="864"/>
      <c r="AF308" s="867"/>
      <c r="AG308" s="867"/>
      <c r="AH308" s="867"/>
      <c r="AI308" s="867"/>
      <c r="AJ308" s="864"/>
      <c r="AK308" s="867"/>
      <c r="AL308" s="867"/>
      <c r="AM308" s="867"/>
      <c r="AN308" s="867"/>
      <c r="AO308" s="864"/>
      <c r="AP308" s="867"/>
      <c r="AQ308" s="867"/>
      <c r="AR308" s="867"/>
      <c r="AS308" s="867"/>
      <c r="AT308" s="864"/>
      <c r="AU308" s="867"/>
      <c r="AV308" s="867"/>
      <c r="AW308" s="868"/>
      <c r="AX308" s="867"/>
      <c r="AY308" s="864"/>
      <c r="AZ308" s="867"/>
      <c r="BA308" s="867"/>
      <c r="BB308" s="867"/>
      <c r="BC308" s="867"/>
      <c r="BD308" s="864"/>
      <c r="BE308" s="864"/>
      <c r="BF308" s="864"/>
      <c r="BG308" s="864"/>
      <c r="BH308" s="821"/>
    </row>
    <row r="309" spans="1:60" customFormat="1" x14ac:dyDescent="0.25">
      <c r="A309" s="368" t="s">
        <v>34</v>
      </c>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c r="AA309" s="88"/>
      <c r="AB309" s="88"/>
      <c r="AC309" s="88"/>
      <c r="AD309" s="88"/>
      <c r="AE309" s="88"/>
      <c r="AF309" s="88"/>
      <c r="AG309" s="88"/>
      <c r="AH309" s="88"/>
      <c r="AI309" s="88"/>
      <c r="AJ309" s="88"/>
      <c r="AK309" s="88"/>
      <c r="AL309" s="88"/>
      <c r="AM309" s="88"/>
      <c r="AN309" s="88"/>
      <c r="AO309" s="88"/>
      <c r="AP309" s="88"/>
      <c r="AQ309" s="88"/>
      <c r="AR309" s="88"/>
      <c r="AS309" s="88"/>
      <c r="AT309" s="88"/>
      <c r="AU309" s="88"/>
      <c r="AV309" s="88"/>
      <c r="AW309" s="565"/>
      <c r="AX309" s="88"/>
      <c r="AY309" s="88"/>
      <c r="AZ309" s="88"/>
      <c r="BA309" s="88"/>
      <c r="BB309" s="88"/>
      <c r="BC309" s="88"/>
      <c r="BD309" s="88"/>
      <c r="BE309" s="88"/>
      <c r="BF309" s="88"/>
      <c r="BG309" s="88"/>
      <c r="BH309" s="70"/>
    </row>
    <row r="310" spans="1:60" customFormat="1" hidden="1" outlineLevel="2" x14ac:dyDescent="0.25">
      <c r="A310" s="645" t="s">
        <v>35</v>
      </c>
      <c r="B310" s="258"/>
      <c r="C310" s="91"/>
      <c r="D310" s="91"/>
      <c r="E310" s="91"/>
      <c r="F310" s="46">
        <f>'Supplemental Data'!F35/'Supplemental Data'!F26</f>
        <v>0.71885349595490433</v>
      </c>
      <c r="G310" s="82">
        <f>'Supplemental Data'!G35/'Supplemental Data'!G26</f>
        <v>0.68947731852707828</v>
      </c>
      <c r="H310" s="82">
        <f>'Supplemental Data'!H35/'Supplemental Data'!H26</f>
        <v>0.67442321361250146</v>
      </c>
      <c r="I310" s="82">
        <f>'Supplemental Data'!I35/'Supplemental Data'!I26</f>
        <v>0.67604691598569644</v>
      </c>
      <c r="J310" s="82">
        <f>'Supplemental Data'!J35/'Supplemental Data'!J26</f>
        <v>0.670415661788337</v>
      </c>
      <c r="K310" s="46">
        <f>'Supplemental Data'!K35/'Supplemental Data'!K26</f>
        <v>0.67725264640407068</v>
      </c>
      <c r="L310" s="82">
        <f>'Supplemental Data'!L35/'Supplemental Data'!L26</f>
        <v>0.64748684287962821</v>
      </c>
      <c r="M310" s="82">
        <f>'Supplemental Data'!M35/'Supplemental Data'!M26</f>
        <v>0.65164245876703741</v>
      </c>
      <c r="N310" s="82">
        <f>'Supplemental Data'!N35/'Supplemental Data'!N26</f>
        <v>0.64441771646810697</v>
      </c>
      <c r="O310" s="82">
        <f>'Supplemental Data'!O35/'Supplemental Data'!O26</f>
        <v>0.62477301017393994</v>
      </c>
      <c r="P310" s="46">
        <f>'Supplemental Data'!P35/'Supplemental Data'!P26</f>
        <v>0.64164457191949487</v>
      </c>
      <c r="Q310" s="82">
        <f>'Supplemental Data'!Q35/'Supplemental Data'!Q26</f>
        <v>0.59168112362015657</v>
      </c>
      <c r="R310" s="82">
        <f>'Supplemental Data'!R35/'Supplemental Data'!R26</f>
        <v>0.59721535841733175</v>
      </c>
      <c r="S310" s="82">
        <f>'Supplemental Data'!S35/'Supplemental Data'!S26</f>
        <v>0.60614439814993215</v>
      </c>
      <c r="T310" s="82">
        <f>'Supplemental Data'!T35/'Supplemental Data'!T26</f>
        <v>0.58507974714562305</v>
      </c>
      <c r="U310" s="46">
        <f>'Supplemental Data'!U35/'Supplemental Data'!U26</f>
        <v>0.59497399612806523</v>
      </c>
      <c r="V310" s="82">
        <f>'Supplemental Data'!V35/'Supplemental Data'!V26</f>
        <v>0.592259487909917</v>
      </c>
      <c r="W310" s="82">
        <f>'Supplemental Data'!W35/'Supplemental Data'!W26</f>
        <v>0.6036716928569833</v>
      </c>
      <c r="X310" s="82">
        <f>'Supplemental Data'!X35/'Supplemental Data'!X26</f>
        <v>0.57210850296665039</v>
      </c>
      <c r="Y310" s="82">
        <f>'Supplemental Data'!Y35/'Supplemental Data'!Y26</f>
        <v>0.56189480014421478</v>
      </c>
      <c r="Z310" s="46">
        <f>'Supplemental Data'!Z35/'Supplemental Data'!Z26</f>
        <v>0.58140526070217935</v>
      </c>
      <c r="AA310" s="82">
        <f>'Supplemental Data'!AA35/'Supplemental Data'!AA26</f>
        <v>0.53328680405049655</v>
      </c>
      <c r="AB310" s="82">
        <f>'Supplemental Data'!AB35/'Supplemental Data'!AB26</f>
        <v>0.57690506602794156</v>
      </c>
      <c r="AC310" s="82">
        <f>'Supplemental Data'!AC35/'Supplemental Data'!AC26</f>
        <v>0.58316259589842356</v>
      </c>
      <c r="AD310" s="82">
        <f>'Supplemental Data'!AD35/'Supplemental Data'!AD26</f>
        <v>0.56193008046500148</v>
      </c>
      <c r="AE310" s="46">
        <f>'Supplemental Data'!AE35/'Supplemental Data'!AE26</f>
        <v>0.56408985824045899</v>
      </c>
      <c r="AF310" s="82">
        <f>'Supplemental Data'!AF35/'Supplemental Data'!AF26</f>
        <v>0.51454407893543974</v>
      </c>
      <c r="AG310" s="82">
        <f>'Supplemental Data'!AG35/'Supplemental Data'!AG26</f>
        <v>0.51235143052425969</v>
      </c>
      <c r="AH310" s="82">
        <f>'Supplemental Data'!AH35/'Supplemental Data'!AH26</f>
        <v>0.53603752411844441</v>
      </c>
      <c r="AI310" s="82">
        <f>'Supplemental Data'!AI35/'Supplemental Data'!AI26</f>
        <v>0.54779338828070046</v>
      </c>
      <c r="AJ310" s="46">
        <f>'Supplemental Data'!AJ35/'Supplemental Data'!AJ26</f>
        <v>0.52812611854581493</v>
      </c>
      <c r="AK310" s="82">
        <f>'Supplemental Data'!AK35/'Supplemental Data'!AK26</f>
        <v>0.54955619696608005</v>
      </c>
      <c r="AL310" s="82">
        <f>'Supplemental Data'!AL35/'Supplemental Data'!AL26</f>
        <v>0.52036609430542691</v>
      </c>
      <c r="AM310" s="82">
        <f>'Supplemental Data'!AM35/'Supplemental Data'!AM26</f>
        <v>0.50157755249734937</v>
      </c>
      <c r="AN310" s="82">
        <f>'Supplemental Data'!AN35/'Supplemental Data'!AN26</f>
        <v>0.53761764733407336</v>
      </c>
      <c r="AO310" s="46">
        <f>'Supplemental Data'!AO35/'Supplemental Data'!AO26</f>
        <v>0.52659746478553249</v>
      </c>
      <c r="AP310" s="185"/>
      <c r="AQ310" s="185"/>
      <c r="AR310" s="185"/>
      <c r="AS310" s="185"/>
      <c r="AT310" s="91"/>
      <c r="AU310" s="185"/>
      <c r="AV310" s="185"/>
      <c r="AW310" s="566"/>
      <c r="AX310" s="185"/>
      <c r="AY310" s="91"/>
      <c r="AZ310" s="185"/>
      <c r="BA310" s="185"/>
      <c r="BB310" s="185"/>
      <c r="BC310" s="185"/>
      <c r="BD310" s="91"/>
      <c r="BE310" s="91"/>
      <c r="BF310" s="91"/>
      <c r="BG310" s="91"/>
      <c r="BH310" s="67"/>
    </row>
    <row r="311" spans="1:60" customFormat="1" hidden="1" outlineLevel="2" x14ac:dyDescent="0.25">
      <c r="A311" s="645" t="s">
        <v>36</v>
      </c>
      <c r="B311" s="258"/>
      <c r="C311" s="91"/>
      <c r="D311" s="91"/>
      <c r="E311" s="91"/>
      <c r="F311" s="46">
        <f>'Supplemental Data'!F36/'Supplemental Data'!F28</f>
        <v>1.6807805468418529</v>
      </c>
      <c r="G311" s="82">
        <f>'Supplemental Data'!G36/'Supplemental Data'!G28</f>
        <v>1.17513853780128</v>
      </c>
      <c r="H311" s="82">
        <f>'Supplemental Data'!H36/'Supplemental Data'!H28</f>
        <v>1.1114995599811939</v>
      </c>
      <c r="I311" s="82">
        <f>'Supplemental Data'!I36/'Supplemental Data'!I28</f>
        <v>1.1461887670649165</v>
      </c>
      <c r="J311" s="82">
        <f>'Supplemental Data'!J36/'Supplemental Data'!J28</f>
        <v>0.9990199532106695</v>
      </c>
      <c r="K311" s="46">
        <f>'Supplemental Data'!K36/'Supplemental Data'!K28</f>
        <v>1.0981400637291372</v>
      </c>
      <c r="L311" s="82">
        <f>'Supplemental Data'!L36/'Supplemental Data'!L28</f>
        <v>0.91819720123690651</v>
      </c>
      <c r="M311" s="82">
        <f>'Supplemental Data'!M36/'Supplemental Data'!M28</f>
        <v>0.86741733097856311</v>
      </c>
      <c r="N311" s="82">
        <f>'Supplemental Data'!N36/'Supplemental Data'!N28</f>
        <v>0.84453187150151154</v>
      </c>
      <c r="O311" s="82">
        <f>'Supplemental Data'!O36/'Supplemental Data'!O28</f>
        <v>0.90307815687073389</v>
      </c>
      <c r="P311" s="46">
        <f>'Supplemental Data'!P36/'Supplemental Data'!P28</f>
        <v>0.88231129893789362</v>
      </c>
      <c r="Q311" s="82">
        <f>'Supplemental Data'!Q36/'Supplemental Data'!Q28</f>
        <v>0.90342010173400389</v>
      </c>
      <c r="R311" s="82">
        <f>'Supplemental Data'!R36/'Supplemental Data'!R28</f>
        <v>0.93008006368152207</v>
      </c>
      <c r="S311" s="82">
        <f>'Supplemental Data'!S36/'Supplemental Data'!S28</f>
        <v>0.87304544663068073</v>
      </c>
      <c r="T311" s="82">
        <f>'Supplemental Data'!T36/'Supplemental Data'!T28</f>
        <v>0.93727986158314269</v>
      </c>
      <c r="U311" s="46">
        <f>'Supplemental Data'!U36/'Supplemental Data'!U28</f>
        <v>0.91140734142676871</v>
      </c>
      <c r="V311" s="82">
        <f>'Supplemental Data'!V36/'Supplemental Data'!V28</f>
        <v>1.0091783941032424</v>
      </c>
      <c r="W311" s="82">
        <f>'Supplemental Data'!W36/'Supplemental Data'!W28</f>
        <v>0.96038913164187334</v>
      </c>
      <c r="X311" s="82">
        <f>'Supplemental Data'!X36/'Supplemental Data'!X28</f>
        <v>0.91844800112480662</v>
      </c>
      <c r="Y311" s="82">
        <f>'Supplemental Data'!Y36/'Supplemental Data'!Y28</f>
        <v>0.92118109122834446</v>
      </c>
      <c r="Z311" s="46">
        <f>'Supplemental Data'!Z36/'Supplemental Data'!Z28</f>
        <v>0.94757302415531153</v>
      </c>
      <c r="AA311" s="82">
        <f>'Supplemental Data'!AA36/'Supplemental Data'!AA28</f>
        <v>0.85696698238098101</v>
      </c>
      <c r="AB311" s="82">
        <f>'Supplemental Data'!AB36/'Supplemental Data'!AB28</f>
        <v>0.9186459645665912</v>
      </c>
      <c r="AC311" s="82">
        <f>'Supplemental Data'!AC36/'Supplemental Data'!AC28</f>
        <v>0.85644645500532979</v>
      </c>
      <c r="AD311" s="82">
        <f>'Supplemental Data'!AD36/'Supplemental Data'!AD28</f>
        <v>0.80998871852361676</v>
      </c>
      <c r="AE311" s="46">
        <f>'Supplemental Data'!AE36/'Supplemental Data'!AE28</f>
        <v>0.85664224431741709</v>
      </c>
      <c r="AF311" s="82">
        <f>'Supplemental Data'!AF36/'Supplemental Data'!AF28</f>
        <v>0.7416622991258558</v>
      </c>
      <c r="AG311" s="82">
        <f>'Supplemental Data'!AG36/'Supplemental Data'!AG28</f>
        <v>0.72483478594004402</v>
      </c>
      <c r="AH311" s="82">
        <f>'Supplemental Data'!AH36/'Supplemental Data'!AH28</f>
        <v>0.73763063888960689</v>
      </c>
      <c r="AI311" s="82">
        <f>'Supplemental Data'!AI36/'Supplemental Data'!AI28</f>
        <v>0.76286146603900507</v>
      </c>
      <c r="AJ311" s="46">
        <f>'Supplemental Data'!AJ36/'Supplemental Data'!AJ28</f>
        <v>0.74222167395582572</v>
      </c>
      <c r="AK311" s="82">
        <f>'Supplemental Data'!AK36/'Supplemental Data'!AK28</f>
        <v>0.71706843437981815</v>
      </c>
      <c r="AL311" s="82">
        <f>'Supplemental Data'!AL36/'Supplemental Data'!AL28</f>
        <v>0.69822630132663355</v>
      </c>
      <c r="AM311" s="82">
        <f>'Supplemental Data'!AM36/'Supplemental Data'!AM28</f>
        <v>0.67381567364504813</v>
      </c>
      <c r="AN311" s="82">
        <f>'Supplemental Data'!AN36/'Supplemental Data'!AN28</f>
        <v>0.71859971665773048</v>
      </c>
      <c r="AO311" s="46">
        <f>'Supplemental Data'!AO36/'Supplemental Data'!AO28</f>
        <v>0.70172429465276032</v>
      </c>
      <c r="AP311" s="185"/>
      <c r="AQ311" s="185"/>
      <c r="AR311" s="185"/>
      <c r="AS311" s="185"/>
      <c r="AT311" s="91"/>
      <c r="AU311" s="185"/>
      <c r="AV311" s="185"/>
      <c r="AW311" s="566"/>
      <c r="AX311" s="185"/>
      <c r="AY311" s="91"/>
      <c r="AZ311" s="185"/>
      <c r="BA311" s="185"/>
      <c r="BB311" s="185"/>
      <c r="BC311" s="185"/>
      <c r="BD311" s="91"/>
      <c r="BE311" s="91"/>
      <c r="BF311" s="91"/>
      <c r="BG311" s="91"/>
      <c r="BH311" s="67"/>
    </row>
    <row r="312" spans="1:60" customFormat="1" hidden="1" outlineLevel="2" x14ac:dyDescent="0.25">
      <c r="A312" s="645" t="s">
        <v>37</v>
      </c>
      <c r="B312" s="258"/>
      <c r="C312" s="91"/>
      <c r="D312" s="91"/>
      <c r="E312" s="91"/>
      <c r="F312" s="46">
        <f>'Supplemental Data'!F37/'Supplemental Data'!F30</f>
        <v>0.52614806240280343</v>
      </c>
      <c r="G312" s="82">
        <f>'Supplemental Data'!G37/'Supplemental Data'!G30</f>
        <v>0.53320892915127027</v>
      </c>
      <c r="H312" s="82">
        <f>'Supplemental Data'!H37/'Supplemental Data'!H30</f>
        <v>0.53221218602209308</v>
      </c>
      <c r="I312" s="82">
        <f>'Supplemental Data'!I37/'Supplemental Data'!I30</f>
        <v>0.5188921190814233</v>
      </c>
      <c r="J312" s="82">
        <f>'Supplemental Data'!J37/'Supplemental Data'!J30</f>
        <v>0.48296898592315407</v>
      </c>
      <c r="K312" s="46">
        <f>'Supplemental Data'!K37/'Supplemental Data'!K30</f>
        <v>0.51770372541850707</v>
      </c>
      <c r="L312" s="82">
        <f>'Supplemental Data'!L37/'Supplemental Data'!L30</f>
        <v>0.52274484473022298</v>
      </c>
      <c r="M312" s="82">
        <f>'Supplemental Data'!M37/'Supplemental Data'!M30</f>
        <v>0.52345663795892583</v>
      </c>
      <c r="N312" s="82">
        <f>'Supplemental Data'!N37/'Supplemental Data'!N30</f>
        <v>0.52091405542425651</v>
      </c>
      <c r="O312" s="82">
        <f>'Supplemental Data'!O37/'Supplemental Data'!O30</f>
        <v>0.50659371883513793</v>
      </c>
      <c r="P312" s="46">
        <f>'Supplemental Data'!P37/'Supplemental Data'!P30</f>
        <v>0.51869083761456747</v>
      </c>
      <c r="Q312" s="82">
        <f>'Supplemental Data'!Q37/'Supplemental Data'!Q30</f>
        <v>0.51151270207852195</v>
      </c>
      <c r="R312" s="82">
        <f>'Supplemental Data'!R37/'Supplemental Data'!R30</f>
        <v>0.52491189991342413</v>
      </c>
      <c r="S312" s="82">
        <f>'Supplemental Data'!S37/'Supplemental Data'!S30</f>
        <v>0.49384855641045178</v>
      </c>
      <c r="T312" s="82">
        <f>'Supplemental Data'!T37/'Supplemental Data'!T30</f>
        <v>0.47303553097784706</v>
      </c>
      <c r="U312" s="46">
        <f>'Supplemental Data'!U37/'Supplemental Data'!U30</f>
        <v>0.50160978850522742</v>
      </c>
      <c r="V312" s="82">
        <f>'Supplemental Data'!V37/'Supplemental Data'!V30</f>
        <v>0.50498455926547692</v>
      </c>
      <c r="W312" s="82">
        <f>'Supplemental Data'!W37/'Supplemental Data'!W30</f>
        <v>0.48892829340022487</v>
      </c>
      <c r="X312" s="82">
        <f>'Supplemental Data'!X37/'Supplemental Data'!X30</f>
        <v>0.48098961284230407</v>
      </c>
      <c r="Y312" s="82">
        <f>'Supplemental Data'!Y37/'Supplemental Data'!Y30</f>
        <v>0.45996851589630827</v>
      </c>
      <c r="Z312" s="46">
        <f>'Supplemental Data'!Z37/'Supplemental Data'!Z30</f>
        <v>0.48452515089430115</v>
      </c>
      <c r="AA312" s="82">
        <f>'Supplemental Data'!AA37/'Supplemental Data'!AA30</f>
        <v>0.50018273335880525</v>
      </c>
      <c r="AB312" s="82">
        <f>'Supplemental Data'!AB37/'Supplemental Data'!AB30</f>
        <v>0.45960762439317748</v>
      </c>
      <c r="AC312" s="82">
        <f>'Supplemental Data'!AC37/'Supplemental Data'!AC30</f>
        <v>0.42723247500317568</v>
      </c>
      <c r="AD312" s="82">
        <f>'Supplemental Data'!AD37/'Supplemental Data'!AD30</f>
        <v>0.40403416007303705</v>
      </c>
      <c r="AE312" s="46">
        <f>'Supplemental Data'!AE37/'Supplemental Data'!AE30</f>
        <v>0.44955904256854096</v>
      </c>
      <c r="AF312" s="82">
        <f>'Supplemental Data'!AF37/'Supplemental Data'!AF30</f>
        <v>0.42929185527235164</v>
      </c>
      <c r="AG312" s="82">
        <f>'Supplemental Data'!AG37/'Supplemental Data'!AG30</f>
        <v>0.4297339188840093</v>
      </c>
      <c r="AH312" s="82">
        <f>'Supplemental Data'!AH37/'Supplemental Data'!AH30</f>
        <v>0.41791229710397965</v>
      </c>
      <c r="AI312" s="82">
        <f>'Supplemental Data'!AI37/'Supplemental Data'!AI30</f>
        <v>0.39549303052009832</v>
      </c>
      <c r="AJ312" s="46">
        <f>'Supplemental Data'!AJ37/'Supplemental Data'!AJ30</f>
        <v>0.41876807015528367</v>
      </c>
      <c r="AK312" s="82">
        <f>'Supplemental Data'!AK37/'Supplemental Data'!AK30</f>
        <v>0.42085564148324406</v>
      </c>
      <c r="AL312" s="82">
        <f>'Supplemental Data'!AL37/'Supplemental Data'!AL30</f>
        <v>0.39825459317585304</v>
      </c>
      <c r="AM312" s="82">
        <f>'Supplemental Data'!AM37/'Supplemental Data'!AM30</f>
        <v>0.38667445775421905</v>
      </c>
      <c r="AN312" s="82">
        <f>'Supplemental Data'!AN37/'Supplemental Data'!AN30</f>
        <v>0.45446444223689586</v>
      </c>
      <c r="AO312" s="46">
        <f>'Supplemental Data'!AO37/'Supplemental Data'!AO30</f>
        <v>0.41453550772667791</v>
      </c>
      <c r="AP312" s="185"/>
      <c r="AQ312" s="185"/>
      <c r="AR312" s="185"/>
      <c r="AS312" s="185"/>
      <c r="AT312" s="91"/>
      <c r="AU312" s="185"/>
      <c r="AV312" s="185"/>
      <c r="AW312" s="566"/>
      <c r="AX312" s="185"/>
      <c r="AY312" s="91"/>
      <c r="AZ312" s="185"/>
      <c r="BA312" s="185"/>
      <c r="BB312" s="185"/>
      <c r="BC312" s="185"/>
      <c r="BD312" s="91"/>
      <c r="BE312" s="91"/>
      <c r="BF312" s="91"/>
      <c r="BG312" s="91"/>
      <c r="BH312" s="67"/>
    </row>
    <row r="313" spans="1:60" customFormat="1" hidden="1" outlineLevel="1" x14ac:dyDescent="0.25">
      <c r="A313" s="770" t="s">
        <v>38</v>
      </c>
      <c r="B313" s="771"/>
      <c r="C313" s="772">
        <f t="shared" ref="C313:AH313" si="208">C382/C379</f>
        <v>0.64616597685761989</v>
      </c>
      <c r="D313" s="772">
        <f t="shared" si="208"/>
        <v>0.6276423328131322</v>
      </c>
      <c r="E313" s="772">
        <f t="shared" si="208"/>
        <v>0.63655858479917937</v>
      </c>
      <c r="F313" s="772">
        <f t="shared" si="208"/>
        <v>0.73478824874310178</v>
      </c>
      <c r="G313" s="773">
        <f t="shared" si="208"/>
        <v>0.71970709821956114</v>
      </c>
      <c r="H313" s="773">
        <f t="shared" si="208"/>
        <v>0.71132776994348079</v>
      </c>
      <c r="I313" s="773">
        <f t="shared" si="208"/>
        <v>0.72233338366490385</v>
      </c>
      <c r="J313" s="773">
        <f t="shared" si="208"/>
        <v>0.69831181981399448</v>
      </c>
      <c r="K313" s="772">
        <f t="shared" si="208"/>
        <v>0.71257488178245043</v>
      </c>
      <c r="L313" s="773">
        <f t="shared" si="208"/>
        <v>0.68435046677831246</v>
      </c>
      <c r="M313" s="773">
        <f t="shared" si="208"/>
        <v>0.68251508683556561</v>
      </c>
      <c r="N313" s="773">
        <f t="shared" si="208"/>
        <v>0.67714795747506795</v>
      </c>
      <c r="O313" s="773">
        <f t="shared" si="208"/>
        <v>0.68317698595298282</v>
      </c>
      <c r="P313" s="772">
        <f t="shared" si="208"/>
        <v>0.68174287366912667</v>
      </c>
      <c r="Q313" s="773">
        <f t="shared" si="208"/>
        <v>0.66517176913018583</v>
      </c>
      <c r="R313" s="773">
        <f t="shared" si="208"/>
        <v>0.68204298185559131</v>
      </c>
      <c r="S313" s="773">
        <f t="shared" si="208"/>
        <v>0.67532696140891824</v>
      </c>
      <c r="T313" s="773">
        <f t="shared" si="208"/>
        <v>0.68520944884999035</v>
      </c>
      <c r="U313" s="772">
        <f t="shared" si="208"/>
        <v>0.67725769601966856</v>
      </c>
      <c r="V313" s="773">
        <f t="shared" si="208"/>
        <v>0.72460280650710818</v>
      </c>
      <c r="W313" s="773">
        <f t="shared" si="208"/>
        <v>0.72458393580859615</v>
      </c>
      <c r="X313" s="773">
        <f t="shared" si="208"/>
        <v>0.69591142735880196</v>
      </c>
      <c r="Y313" s="773">
        <f t="shared" si="208"/>
        <v>0.69412211543623314</v>
      </c>
      <c r="Z313" s="772">
        <f t="shared" si="208"/>
        <v>0.70860565603806469</v>
      </c>
      <c r="AA313" s="773">
        <f t="shared" si="208"/>
        <v>0.66020931983380327</v>
      </c>
      <c r="AB313" s="773">
        <f t="shared" si="208"/>
        <v>0.71503203775026347</v>
      </c>
      <c r="AC313" s="773">
        <f t="shared" si="208"/>
        <v>0.6989405529708439</v>
      </c>
      <c r="AD313" s="773">
        <f t="shared" si="208"/>
        <v>0.67391938839018739</v>
      </c>
      <c r="AE313" s="772">
        <f t="shared" si="208"/>
        <v>0.68700907992867011</v>
      </c>
      <c r="AF313" s="773">
        <f t="shared" si="208"/>
        <v>0.62163429217456723</v>
      </c>
      <c r="AG313" s="773">
        <f t="shared" si="208"/>
        <v>0.61486178329114705</v>
      </c>
      <c r="AH313" s="773">
        <f t="shared" si="208"/>
        <v>0.63288104588368088</v>
      </c>
      <c r="AI313" s="773">
        <f t="shared" ref="AI313:BG313" si="209">AI382/AI379</f>
        <v>0.65285498064053538</v>
      </c>
      <c r="AJ313" s="772">
        <f t="shared" si="209"/>
        <v>0.63108286695848848</v>
      </c>
      <c r="AK313" s="773">
        <f t="shared" si="209"/>
        <v>0.63495224057021116</v>
      </c>
      <c r="AL313" s="773">
        <f t="shared" si="209"/>
        <v>0.61051923212859505</v>
      </c>
      <c r="AM313" s="773">
        <f t="shared" si="209"/>
        <v>0.59065302422064847</v>
      </c>
      <c r="AN313" s="773">
        <f t="shared" si="209"/>
        <v>0.63393961408587651</v>
      </c>
      <c r="AO313" s="772">
        <f t="shared" si="209"/>
        <v>0.61718282989060524</v>
      </c>
      <c r="AP313" s="773">
        <f t="shared" si="209"/>
        <v>0.62411474539811518</v>
      </c>
      <c r="AQ313" s="773">
        <f t="shared" si="209"/>
        <v>0.592637850613976</v>
      </c>
      <c r="AR313" s="773">
        <f t="shared" si="209"/>
        <v>0.60098961454786848</v>
      </c>
      <c r="AS313" s="773">
        <f t="shared" si="209"/>
        <v>0.62686377576928154</v>
      </c>
      <c r="AT313" s="772">
        <f t="shared" si="209"/>
        <v>0.61114917489383125</v>
      </c>
      <c r="AU313" s="773">
        <f t="shared" si="209"/>
        <v>0.54004728558780735</v>
      </c>
      <c r="AV313" s="773">
        <f t="shared" si="209"/>
        <v>0.54728003860645724</v>
      </c>
      <c r="AW313" s="774">
        <f t="shared" si="209"/>
        <v>0.56211766551519504</v>
      </c>
      <c r="AX313" s="773">
        <f t="shared" si="209"/>
        <v>0.65212598651621101</v>
      </c>
      <c r="AY313" s="772">
        <f t="shared" si="209"/>
        <v>0.57652713909301445</v>
      </c>
      <c r="AZ313" s="773">
        <f t="shared" si="209"/>
        <v>0.5415917347441237</v>
      </c>
      <c r="BA313" s="773">
        <f t="shared" si="209"/>
        <v>0.54161141719019468</v>
      </c>
      <c r="BB313" s="773">
        <f t="shared" si="209"/>
        <v>0.54633747244597397</v>
      </c>
      <c r="BC313" s="773">
        <f t="shared" si="209"/>
        <v>0.56532885758723861</v>
      </c>
      <c r="BD313" s="772">
        <f t="shared" si="209"/>
        <v>0.54899270723531446</v>
      </c>
      <c r="BE313" s="772">
        <f t="shared" si="209"/>
        <v>0.52044712538801929</v>
      </c>
      <c r="BF313" s="772">
        <f t="shared" si="209"/>
        <v>0.49737108640321115</v>
      </c>
      <c r="BG313" s="772">
        <f t="shared" si="209"/>
        <v>0.46489402902212745</v>
      </c>
      <c r="BH313" s="370"/>
    </row>
    <row r="314" spans="1:60" customFormat="1" hidden="1" outlineLevel="1" x14ac:dyDescent="0.25">
      <c r="A314" s="179" t="s">
        <v>39</v>
      </c>
      <c r="B314" s="160"/>
      <c r="C314" s="96">
        <f t="shared" ref="C314:AV314" si="210">C338/C334</f>
        <v>0.35383402314238011</v>
      </c>
      <c r="D314" s="96">
        <f t="shared" si="210"/>
        <v>0.3723576671868678</v>
      </c>
      <c r="E314" s="96">
        <f t="shared" si="210"/>
        <v>0.36344141520082063</v>
      </c>
      <c r="F314" s="96">
        <f t="shared" si="210"/>
        <v>0.26521175125689822</v>
      </c>
      <c r="G314" s="95">
        <f t="shared" si="210"/>
        <v>0.28029290178043892</v>
      </c>
      <c r="H314" s="95">
        <f t="shared" si="210"/>
        <v>0.28867223005651921</v>
      </c>
      <c r="I314" s="95">
        <f t="shared" si="210"/>
        <v>0.27766661633509621</v>
      </c>
      <c r="J314" s="95">
        <f t="shared" si="210"/>
        <v>0.30168818018600552</v>
      </c>
      <c r="K314" s="96">
        <f t="shared" si="210"/>
        <v>0.28742511821754951</v>
      </c>
      <c r="L314" s="95">
        <f t="shared" si="210"/>
        <v>0.31564953322168754</v>
      </c>
      <c r="M314" s="95">
        <f t="shared" si="210"/>
        <v>0.31748491316443439</v>
      </c>
      <c r="N314" s="95">
        <f t="shared" si="210"/>
        <v>0.32285204252493205</v>
      </c>
      <c r="O314" s="95">
        <f t="shared" si="210"/>
        <v>0.31682301404701724</v>
      </c>
      <c r="P314" s="96">
        <f t="shared" si="210"/>
        <v>0.31825712633087333</v>
      </c>
      <c r="Q314" s="95">
        <f t="shared" si="210"/>
        <v>0.33482823086981417</v>
      </c>
      <c r="R314" s="95">
        <f t="shared" si="210"/>
        <v>0.31795701814440863</v>
      </c>
      <c r="S314" s="95">
        <f t="shared" si="210"/>
        <v>0.32467303859108176</v>
      </c>
      <c r="T314" s="95">
        <f t="shared" si="210"/>
        <v>0.31479055115000965</v>
      </c>
      <c r="U314" s="96">
        <f t="shared" si="210"/>
        <v>0.32274230398033144</v>
      </c>
      <c r="V314" s="95">
        <f t="shared" si="210"/>
        <v>0.27539719349289188</v>
      </c>
      <c r="W314" s="95">
        <f t="shared" si="210"/>
        <v>0.27541606419140385</v>
      </c>
      <c r="X314" s="95">
        <f t="shared" si="210"/>
        <v>0.30408857264119804</v>
      </c>
      <c r="Y314" s="95">
        <f t="shared" si="210"/>
        <v>0.30587788456376691</v>
      </c>
      <c r="Z314" s="96">
        <f t="shared" si="210"/>
        <v>0.29139434396193531</v>
      </c>
      <c r="AA314" s="95">
        <f t="shared" si="210"/>
        <v>0.33979068016619673</v>
      </c>
      <c r="AB314" s="95">
        <f t="shared" si="210"/>
        <v>0.28496796224973653</v>
      </c>
      <c r="AC314" s="95">
        <f t="shared" si="210"/>
        <v>0.3010594470291561</v>
      </c>
      <c r="AD314" s="95">
        <f t="shared" si="210"/>
        <v>0.32608061160981267</v>
      </c>
      <c r="AE314" s="96">
        <f t="shared" si="210"/>
        <v>0.31299092007132989</v>
      </c>
      <c r="AF314" s="95">
        <f t="shared" si="210"/>
        <v>0.37836570782543283</v>
      </c>
      <c r="AG314" s="95">
        <f t="shared" si="210"/>
        <v>0.38513821670885295</v>
      </c>
      <c r="AH314" s="95">
        <f t="shared" si="210"/>
        <v>0.36711895411631912</v>
      </c>
      <c r="AI314" s="95">
        <f t="shared" si="210"/>
        <v>0.34714501935946462</v>
      </c>
      <c r="AJ314" s="96">
        <f t="shared" si="210"/>
        <v>0.36891713304151152</v>
      </c>
      <c r="AK314" s="95">
        <f t="shared" si="210"/>
        <v>0.3650477594297889</v>
      </c>
      <c r="AL314" s="95">
        <f t="shared" si="210"/>
        <v>0.38948076787140501</v>
      </c>
      <c r="AM314" s="95">
        <f t="shared" si="210"/>
        <v>0.40934697577935159</v>
      </c>
      <c r="AN314" s="95">
        <f t="shared" si="210"/>
        <v>0.36606038591412354</v>
      </c>
      <c r="AO314" s="96">
        <f t="shared" si="210"/>
        <v>0.38281717010939481</v>
      </c>
      <c r="AP314" s="95">
        <f t="shared" si="210"/>
        <v>0.37588525460188488</v>
      </c>
      <c r="AQ314" s="95">
        <f t="shared" si="210"/>
        <v>0.40736214938602405</v>
      </c>
      <c r="AR314" s="95">
        <f t="shared" si="210"/>
        <v>0.39901038545213158</v>
      </c>
      <c r="AS314" s="95">
        <f t="shared" si="210"/>
        <v>0.37313622423071841</v>
      </c>
      <c r="AT314" s="96">
        <f t="shared" si="210"/>
        <v>0.38885082510616881</v>
      </c>
      <c r="AU314" s="95">
        <f t="shared" si="210"/>
        <v>0.45995271441219265</v>
      </c>
      <c r="AV314" s="95">
        <f t="shared" si="210"/>
        <v>0.45271996139354276</v>
      </c>
      <c r="AW314" s="568">
        <f>AW338/AW334</f>
        <v>0.43788233448480496</v>
      </c>
      <c r="AX314" s="60">
        <f>AX383/AX379</f>
        <v>0.34787401348378899</v>
      </c>
      <c r="AY314" s="15">
        <f t="shared" ref="AY314" si="211">1-AY313</f>
        <v>0.42347286090698555</v>
      </c>
      <c r="AZ314" s="60">
        <f t="shared" ref="AZ314:BC314" si="212">AZ383/AZ379</f>
        <v>0.4584082652558763</v>
      </c>
      <c r="BA314" s="60">
        <f t="shared" si="212"/>
        <v>0.45838858280980538</v>
      </c>
      <c r="BB314" s="60">
        <f t="shared" si="212"/>
        <v>0.45366252755402597</v>
      </c>
      <c r="BC314" s="60">
        <f t="shared" si="212"/>
        <v>0.43467114241276134</v>
      </c>
      <c r="BD314" s="15">
        <f>1-BD313</f>
        <v>0.45100729276468554</v>
      </c>
      <c r="BE314" s="15">
        <f t="shared" ref="BE314:BG314" si="213">BE383/BE379</f>
        <v>0.47955287461198071</v>
      </c>
      <c r="BF314" s="15">
        <f t="shared" si="213"/>
        <v>0.50262891359678885</v>
      </c>
      <c r="BG314" s="15">
        <f t="shared" si="213"/>
        <v>0.5351059709778726</v>
      </c>
      <c r="BH314" s="370"/>
    </row>
    <row r="315" spans="1:60" customFormat="1" hidden="1" outlineLevel="1" x14ac:dyDescent="0.25">
      <c r="A315" s="162" t="s">
        <v>40</v>
      </c>
      <c r="B315" s="183"/>
      <c r="C315" s="796"/>
      <c r="D315" s="796"/>
      <c r="E315" s="796"/>
      <c r="F315" s="796"/>
      <c r="G315" s="163"/>
      <c r="H315" s="163"/>
      <c r="I315" s="163"/>
      <c r="J315" s="163"/>
      <c r="K315" s="796"/>
      <c r="L315" s="163"/>
      <c r="M315" s="163"/>
      <c r="N315" s="163"/>
      <c r="O315" s="163"/>
      <c r="P315" s="796"/>
      <c r="Q315" s="163"/>
      <c r="R315" s="163"/>
      <c r="S315" s="163"/>
      <c r="T315" s="163"/>
      <c r="U315" s="796"/>
      <c r="V315" s="163"/>
      <c r="W315" s="164"/>
      <c r="X315" s="163"/>
      <c r="Y315" s="164"/>
      <c r="Z315" s="165"/>
      <c r="AA315" s="163"/>
      <c r="AB315" s="164"/>
      <c r="AC315" s="163"/>
      <c r="AD315" s="164"/>
      <c r="AE315" s="165"/>
      <c r="AF315" s="163"/>
      <c r="AG315" s="164"/>
      <c r="AH315" s="163"/>
      <c r="AI315" s="164"/>
      <c r="AJ315" s="165"/>
      <c r="AK315" s="163"/>
      <c r="AL315" s="164"/>
      <c r="AM315" s="163"/>
      <c r="AN315" s="164"/>
      <c r="AO315" s="165"/>
      <c r="AP315" s="163"/>
      <c r="AQ315" s="164"/>
      <c r="AR315" s="163"/>
      <c r="AS315" s="164"/>
      <c r="AT315" s="165"/>
      <c r="AU315" s="163"/>
      <c r="AV315" s="164"/>
      <c r="AW315" s="637"/>
      <c r="AX315" s="163" t="str">
        <f t="shared" ref="AX315:BD315" ca="1" si="214">IFERROR(VLOOKUP($A315,tb_ConsensusEstimate,MATCH(AX$5,OFFSET(tb_ConsensusEstimate,0,0,1,COLUMNS(tb_ConsensusEstimate)),0),FALSE),"-")</f>
        <v>N/A</v>
      </c>
      <c r="AY315" s="166" t="str">
        <f t="shared" ca="1" si="214"/>
        <v>N/A</v>
      </c>
      <c r="AZ315" s="163" t="str">
        <f t="shared" ca="1" si="214"/>
        <v>N/A</v>
      </c>
      <c r="BA315" s="163" t="str">
        <f t="shared" ca="1" si="214"/>
        <v>N/A</v>
      </c>
      <c r="BB315" s="163" t="str">
        <f t="shared" ca="1" si="214"/>
        <v>N/A</v>
      </c>
      <c r="BC315" s="163" t="str">
        <f t="shared" ca="1" si="214"/>
        <v>N/A</v>
      </c>
      <c r="BD315" s="166" t="str">
        <f t="shared" ca="1" si="214"/>
        <v>N/A</v>
      </c>
      <c r="BE315" s="166" t="str">
        <f ca="1">IFERROR(VLOOKUP(A315,tb_ConsensusEstimate,MATCH(BE5,OFFSET(tb_ConsensusEstimate,0,0,1,COLUMNS(tb_ConsensusEstimate)),0),FALSE),"-")</f>
        <v>N/A</v>
      </c>
      <c r="BF315" s="166" t="str">
        <f ca="1">IFERROR(VLOOKUP(A315,tb_ConsensusEstimate,MATCH(BF5,OFFSET(tb_ConsensusEstimate,0,0,1,COLUMNS(tb_ConsensusEstimate)),0),FALSE),"-")</f>
        <v>N/A</v>
      </c>
      <c r="BG315" s="166" t="str">
        <f ca="1">IFERROR(VLOOKUP(A315,tb_ConsensusEstimate,MATCH(BG5,OFFSET(tb_ConsensusEstimate,0,0,1,COLUMNS(tb_ConsensusEstimate)),0),FALSE),"-")</f>
        <v>N/A</v>
      </c>
      <c r="BH315" s="163"/>
    </row>
    <row r="316" spans="1:60" customFormat="1" hidden="1" outlineLevel="1" x14ac:dyDescent="0.25">
      <c r="A316" s="179"/>
      <c r="B316" s="160"/>
      <c r="C316" s="96"/>
      <c r="D316" s="96"/>
      <c r="E316" s="96"/>
      <c r="F316" s="96"/>
      <c r="G316" s="95"/>
      <c r="H316" s="95"/>
      <c r="I316" s="95"/>
      <c r="J316" s="95"/>
      <c r="K316" s="96"/>
      <c r="L316" s="95"/>
      <c r="M316" s="95"/>
      <c r="N316" s="95"/>
      <c r="O316" s="95"/>
      <c r="P316" s="96"/>
      <c r="Q316" s="95"/>
      <c r="R316" s="95"/>
      <c r="S316" s="95"/>
      <c r="T316" s="95"/>
      <c r="U316" s="96"/>
      <c r="V316" s="95"/>
      <c r="W316" s="95"/>
      <c r="X316" s="95"/>
      <c r="Y316" s="95"/>
      <c r="Z316" s="96"/>
      <c r="AA316" s="95"/>
      <c r="AB316" s="95"/>
      <c r="AC316" s="95"/>
      <c r="AD316" s="95"/>
      <c r="AE316" s="96"/>
      <c r="AF316" s="95"/>
      <c r="AG316" s="95"/>
      <c r="AH316" s="95"/>
      <c r="AI316" s="95"/>
      <c r="AJ316" s="96"/>
      <c r="AK316" s="95"/>
      <c r="AL316" s="95"/>
      <c r="AM316" s="95"/>
      <c r="AN316" s="95"/>
      <c r="AO316" s="96"/>
      <c r="AP316" s="95"/>
      <c r="AQ316" s="95"/>
      <c r="AR316" s="95"/>
      <c r="AS316" s="95"/>
      <c r="AT316" s="96"/>
      <c r="AU316" s="95"/>
      <c r="AV316" s="95"/>
      <c r="AW316" s="568"/>
      <c r="AX316" s="95"/>
      <c r="AY316" s="96"/>
      <c r="AZ316" s="95"/>
      <c r="BA316" s="95"/>
      <c r="BB316" s="95"/>
      <c r="BC316" s="95"/>
      <c r="BD316" s="96"/>
      <c r="BE316" s="96"/>
      <c r="BF316" s="96"/>
      <c r="BG316" s="96"/>
      <c r="BH316" s="70"/>
    </row>
    <row r="317" spans="1:60" customFormat="1" hidden="1" outlineLevel="1" x14ac:dyDescent="0.25">
      <c r="A317" s="180" t="s">
        <v>41</v>
      </c>
      <c r="B317" s="160"/>
      <c r="C317" s="15">
        <f t="shared" ref="C317:AW317" si="215">C385/C379</f>
        <v>6.8576977720355231E-2</v>
      </c>
      <c r="D317" s="15">
        <f t="shared" si="215"/>
        <v>7.5523495751690664E-2</v>
      </c>
      <c r="E317" s="15">
        <f t="shared" si="215"/>
        <v>8.0832197197945307E-2</v>
      </c>
      <c r="F317" s="15">
        <f t="shared" si="215"/>
        <v>9.1156080350607113E-2</v>
      </c>
      <c r="G317" s="60">
        <f t="shared" si="215"/>
        <v>8.9822756921406177E-2</v>
      </c>
      <c r="H317" s="60">
        <f t="shared" si="215"/>
        <v>8.7084756286867432E-2</v>
      </c>
      <c r="I317" s="60">
        <f t="shared" si="215"/>
        <v>8.6383441576348627E-2</v>
      </c>
      <c r="J317" s="60">
        <f t="shared" si="215"/>
        <v>8.3496847425610324E-2</v>
      </c>
      <c r="K317" s="15">
        <f t="shared" si="215"/>
        <v>8.6584439767912774E-2</v>
      </c>
      <c r="L317" s="60">
        <f t="shared" si="215"/>
        <v>8.6852181225095249E-2</v>
      </c>
      <c r="M317" s="60">
        <f t="shared" si="215"/>
        <v>8.5930616596302467E-2</v>
      </c>
      <c r="N317" s="60">
        <f t="shared" si="215"/>
        <v>8.5816839691450181E-2</v>
      </c>
      <c r="O317" s="60">
        <f t="shared" si="215"/>
        <v>8.4780511986033813E-2</v>
      </c>
      <c r="P317" s="15">
        <f t="shared" si="215"/>
        <v>8.5803908545783791E-2</v>
      </c>
      <c r="Q317" s="60">
        <f t="shared" si="215"/>
        <v>9.0969017798286089E-2</v>
      </c>
      <c r="R317" s="60">
        <f t="shared" si="215"/>
        <v>9.4279543793556742E-2</v>
      </c>
      <c r="S317" s="60">
        <f t="shared" si="215"/>
        <v>9.8807205662824915E-2</v>
      </c>
      <c r="T317" s="60">
        <f t="shared" si="215"/>
        <v>9.9191425811960804E-2</v>
      </c>
      <c r="U317" s="15">
        <f t="shared" si="215"/>
        <v>9.5993354092942684E-2</v>
      </c>
      <c r="V317" s="60">
        <f t="shared" si="215"/>
        <v>9.5319287176616252E-2</v>
      </c>
      <c r="W317" s="60">
        <f t="shared" si="215"/>
        <v>9.0349438819230812E-2</v>
      </c>
      <c r="X317" s="60">
        <f t="shared" si="215"/>
        <v>8.624008160028783E-2</v>
      </c>
      <c r="Y317" s="60">
        <f t="shared" si="215"/>
        <v>8.3111439931771086E-2</v>
      </c>
      <c r="Z317" s="15">
        <f t="shared" si="215"/>
        <v>8.8354800751789017E-2</v>
      </c>
      <c r="AA317" s="60">
        <f t="shared" si="215"/>
        <v>8.8700559614812061E-2</v>
      </c>
      <c r="AB317" s="60">
        <f t="shared" si="215"/>
        <v>8.705335987110227E-2</v>
      </c>
      <c r="AC317" s="60">
        <f t="shared" si="215"/>
        <v>7.7130276505523385E-2</v>
      </c>
      <c r="AD317" s="60">
        <f t="shared" si="215"/>
        <v>7.5213154967427587E-2</v>
      </c>
      <c r="AE317" s="15">
        <f t="shared" si="215"/>
        <v>8.1564475241973355E-2</v>
      </c>
      <c r="AF317" s="60">
        <f t="shared" si="215"/>
        <v>7.6282351974786375E-2</v>
      </c>
      <c r="AG317" s="60">
        <f t="shared" si="215"/>
        <v>7.6548331699626604E-2</v>
      </c>
      <c r="AH317" s="60">
        <f t="shared" si="215"/>
        <v>7.7167076647495336E-2</v>
      </c>
      <c r="AI317" s="60">
        <f t="shared" si="215"/>
        <v>7.924566516856027E-2</v>
      </c>
      <c r="AJ317" s="15">
        <f t="shared" si="215"/>
        <v>7.7357706788779609E-2</v>
      </c>
      <c r="AK317" s="60">
        <f t="shared" si="215"/>
        <v>8.2451815884655402E-2</v>
      </c>
      <c r="AL317" s="60">
        <f t="shared" si="215"/>
        <v>7.784358524154214E-2</v>
      </c>
      <c r="AM317" s="60">
        <f t="shared" si="215"/>
        <v>7.240855649435024E-2</v>
      </c>
      <c r="AN317" s="60">
        <f t="shared" si="215"/>
        <v>7.4875343716997736E-2</v>
      </c>
      <c r="AO317" s="15">
        <f t="shared" si="215"/>
        <v>7.6657805812701013E-2</v>
      </c>
      <c r="AP317" s="60">
        <f t="shared" si="215"/>
        <v>7.8682613198245197E-2</v>
      </c>
      <c r="AQ317" s="60">
        <f t="shared" si="215"/>
        <v>7.0758744794890804E-2</v>
      </c>
      <c r="AR317" s="60">
        <f t="shared" si="215"/>
        <v>7.0513921154968809E-2</v>
      </c>
      <c r="AS317" s="60">
        <f t="shared" si="215"/>
        <v>7.3284709235177256E-2</v>
      </c>
      <c r="AT317" s="15">
        <f t="shared" si="215"/>
        <v>7.3195547329546709E-2</v>
      </c>
      <c r="AU317" s="60">
        <f t="shared" si="215"/>
        <v>7.3319324856958024E-2</v>
      </c>
      <c r="AV317" s="60">
        <f t="shared" si="215"/>
        <v>7.3186777533558983E-2</v>
      </c>
      <c r="AW317" s="570">
        <f t="shared" si="215"/>
        <v>7.5351037159648054E-2</v>
      </c>
      <c r="AX317" s="60">
        <f t="shared" ref="AX317:BG317" si="216">AX385/AX379</f>
        <v>9.328470923517726E-2</v>
      </c>
      <c r="AY317" s="15">
        <f t="shared" si="216"/>
        <v>7.8988112725210155E-2</v>
      </c>
      <c r="AZ317" s="60">
        <f t="shared" si="216"/>
        <v>7.2819324856958023E-2</v>
      </c>
      <c r="BA317" s="60">
        <f t="shared" si="216"/>
        <v>7.2686777533558983E-2</v>
      </c>
      <c r="BB317" s="60">
        <f t="shared" si="216"/>
        <v>7.4851037159648054E-2</v>
      </c>
      <c r="BC317" s="60">
        <f t="shared" si="216"/>
        <v>8.7284709235177255E-2</v>
      </c>
      <c r="BD317" s="15">
        <f t="shared" si="216"/>
        <v>7.7075881679825278E-2</v>
      </c>
      <c r="BE317" s="15">
        <f t="shared" si="216"/>
        <v>7.6575881679825278E-2</v>
      </c>
      <c r="BF317" s="15">
        <f t="shared" si="216"/>
        <v>7.6075881679825277E-2</v>
      </c>
      <c r="BG317" s="15">
        <f t="shared" si="216"/>
        <v>7.5575881679825277E-2</v>
      </c>
      <c r="BH317" s="70"/>
    </row>
    <row r="318" spans="1:60" customFormat="1" hidden="1" outlineLevel="2" x14ac:dyDescent="0.25">
      <c r="A318" s="181" t="s">
        <v>42</v>
      </c>
      <c r="B318" s="258"/>
      <c r="C318" s="91"/>
      <c r="D318" s="91"/>
      <c r="E318" s="91"/>
      <c r="F318" s="46">
        <f>'Supplemental Data'!F40/'Supplemental Data'!F26</f>
        <v>0.11225346336712332</v>
      </c>
      <c r="G318" s="82">
        <f>'Supplemental Data'!G40/'Supplemental Data'!G26</f>
        <v>0.10485415306373298</v>
      </c>
      <c r="H318" s="82">
        <f>'Supplemental Data'!H40/'Supplemental Data'!H26</f>
        <v>0.10010147685329368</v>
      </c>
      <c r="I318" s="82">
        <f>'Supplemental Data'!I40/'Supplemental Data'!I26</f>
        <v>8.6490472597395743E-2</v>
      </c>
      <c r="J318" s="82">
        <f>'Supplemental Data'!J40/'Supplemental Data'!J26</f>
        <v>9.5135533668037717E-2</v>
      </c>
      <c r="K318" s="46">
        <f>'Supplemental Data'!K40/'Supplemental Data'!K26</f>
        <v>9.6399800099950028E-2</v>
      </c>
      <c r="L318" s="82">
        <f>'Supplemental Data'!L40/'Supplemental Data'!L26</f>
        <v>0.10049623286256115</v>
      </c>
      <c r="M318" s="82">
        <f>'Supplemental Data'!M40/'Supplemental Data'!M26</f>
        <v>7.7219123743624926E-2</v>
      </c>
      <c r="N318" s="82">
        <f>'Supplemental Data'!N40/'Supplemental Data'!N26</f>
        <v>6.9594710140796906E-2</v>
      </c>
      <c r="O318" s="82">
        <f>'Supplemental Data'!O40/'Supplemental Data'!O26</f>
        <v>9.5289947484418561E-2</v>
      </c>
      <c r="P318" s="46">
        <f>'Supplemental Data'!P40/'Supplemental Data'!P26</f>
        <v>8.551905704728692E-2</v>
      </c>
      <c r="Q318" s="82">
        <f>'Supplemental Data'!Q40/'Supplemental Data'!Q26</f>
        <v>9.0957937375321471E-2</v>
      </c>
      <c r="R318" s="82">
        <f>'Supplemental Data'!R40/'Supplemental Data'!R26</f>
        <v>7.157234580320164E-2</v>
      </c>
      <c r="S318" s="82">
        <f>'Supplemental Data'!S40/'Supplemental Data'!S26</f>
        <v>7.0336224730041794E-2</v>
      </c>
      <c r="T318" s="82">
        <f>'Supplemental Data'!T40/'Supplemental Data'!T26</f>
        <v>7.2186108923415815E-2</v>
      </c>
      <c r="U318" s="46">
        <f>'Supplemental Data'!U40/'Supplemental Data'!U26</f>
        <v>7.5985703551793293E-2</v>
      </c>
      <c r="V318" s="82">
        <f>'Supplemental Data'!V40/'Supplemental Data'!V26</f>
        <v>7.6275295136840671E-2</v>
      </c>
      <c r="W318" s="82">
        <f>'Supplemental Data'!W40/'Supplemental Data'!W26</f>
        <v>7.7591037110052302E-2</v>
      </c>
      <c r="X318" s="82">
        <f>'Supplemental Data'!X40/'Supplemental Data'!X26</f>
        <v>8.9461050207270687E-2</v>
      </c>
      <c r="Y318" s="82">
        <f>'Supplemental Data'!Y40/'Supplemental Data'!Y26</f>
        <v>8.1167854918765173E-2</v>
      </c>
      <c r="Z318" s="46">
        <f>'Supplemental Data'!Z40/'Supplemental Data'!Z26</f>
        <v>8.1328152896801398E-2</v>
      </c>
      <c r="AA318" s="82">
        <f>'Supplemental Data'!AA40/'Supplemental Data'!AA26</f>
        <v>8.5883940730945102E-2</v>
      </c>
      <c r="AB318" s="82">
        <f>'Supplemental Data'!AB40/'Supplemental Data'!AB26</f>
        <v>8.2964518740962306E-2</v>
      </c>
      <c r="AC318" s="82">
        <f>'Supplemental Data'!AC40/'Supplemental Data'!AC26</f>
        <v>9.1476270189567013E-2</v>
      </c>
      <c r="AD318" s="82">
        <f>'Supplemental Data'!AD40/'Supplemental Data'!AD26</f>
        <v>0.12946105991998888</v>
      </c>
      <c r="AE318" s="46">
        <f>'Supplemental Data'!AE40/'Supplemental Data'!AE26</f>
        <v>9.8121818130106744E-2</v>
      </c>
      <c r="AF318" s="82">
        <f>'Supplemental Data'!AF40/'Supplemental Data'!AF26</f>
        <v>0.13775625419295073</v>
      </c>
      <c r="AG318" s="82">
        <f>'Supplemental Data'!AG40/'Supplemental Data'!AG26</f>
        <v>0.13273562212989284</v>
      </c>
      <c r="AH318" s="82">
        <f>'Supplemental Data'!AH40/'Supplemental Data'!AH26</f>
        <v>0.1087046291927896</v>
      </c>
      <c r="AI318" s="82">
        <f>'Supplemental Data'!AI40/'Supplemental Data'!AI26</f>
        <v>0.15667564420878397</v>
      </c>
      <c r="AJ318" s="46">
        <f>'Supplemental Data'!AJ40/'Supplemental Data'!AJ26</f>
        <v>0.13409158288593681</v>
      </c>
      <c r="AK318" s="82">
        <f>'Supplemental Data'!AK40/'Supplemental Data'!AK26</f>
        <v>0.10660242916151248</v>
      </c>
      <c r="AL318" s="82">
        <f>'Supplemental Data'!AL40/'Supplemental Data'!AL26</f>
        <v>0.10899756392362699</v>
      </c>
      <c r="AM318" s="82">
        <f>'Supplemental Data'!AM40/'Supplemental Data'!AM26</f>
        <v>8.7786278526302358E-2</v>
      </c>
      <c r="AN318" s="82">
        <f>'Supplemental Data'!AN40/'Supplemental Data'!AN26</f>
        <v>0.15445445530978014</v>
      </c>
      <c r="AO318" s="46">
        <f>'Supplemental Data'!AO40/'Supplemental Data'!AO26</f>
        <v>0.11501043221333322</v>
      </c>
      <c r="AP318" s="185"/>
      <c r="AQ318" s="185"/>
      <c r="AR318" s="185"/>
      <c r="AS318" s="185"/>
      <c r="AT318" s="91"/>
      <c r="AU318" s="185"/>
      <c r="AV318" s="185"/>
      <c r="AW318" s="566"/>
      <c r="AX318" s="185"/>
      <c r="AY318" s="91"/>
      <c r="AZ318" s="185"/>
      <c r="BA318" s="185"/>
      <c r="BB318" s="185"/>
      <c r="BC318" s="185"/>
      <c r="BD318" s="91"/>
      <c r="BE318" s="91"/>
      <c r="BF318" s="91"/>
      <c r="BG318" s="91"/>
      <c r="BH318" s="67"/>
    </row>
    <row r="319" spans="1:60" customFormat="1" hidden="1" outlineLevel="2" x14ac:dyDescent="0.25">
      <c r="A319" s="181" t="s">
        <v>43</v>
      </c>
      <c r="B319" s="258"/>
      <c r="C319" s="91"/>
      <c r="D319" s="91"/>
      <c r="E319" s="91"/>
      <c r="F319" s="46">
        <f>'Supplemental Data'!F41/'Supplemental Data'!F28</f>
        <v>0.67256261693943842</v>
      </c>
      <c r="G319" s="82">
        <f>'Supplemental Data'!G41/'Supplemental Data'!G28</f>
        <v>0.36647913307374363</v>
      </c>
      <c r="H319" s="82">
        <f>'Supplemental Data'!H41/'Supplemental Data'!H28</f>
        <v>0.28531904377282979</v>
      </c>
      <c r="I319" s="82">
        <f>'Supplemental Data'!I41/'Supplemental Data'!I28</f>
        <v>0.25969265395982544</v>
      </c>
      <c r="J319" s="82">
        <f>'Supplemental Data'!J41/'Supplemental Data'!J28</f>
        <v>0.25968530110469795</v>
      </c>
      <c r="K319" s="46">
        <f>'Supplemental Data'!K41/'Supplemental Data'!K28</f>
        <v>0.28694675669226127</v>
      </c>
      <c r="L319" s="82">
        <f>'Supplemental Data'!L41/'Supplemental Data'!L28</f>
        <v>0.21278985317350385</v>
      </c>
      <c r="M319" s="82">
        <f>'Supplemental Data'!M41/'Supplemental Data'!M28</f>
        <v>0.18225400945160525</v>
      </c>
      <c r="N319" s="82">
        <f>'Supplemental Data'!N41/'Supplemental Data'!N28</f>
        <v>0.24475751045026539</v>
      </c>
      <c r="O319" s="82">
        <f>'Supplemental Data'!O41/'Supplemental Data'!O28</f>
        <v>0.29976508327810691</v>
      </c>
      <c r="P319" s="46">
        <f>'Supplemental Data'!P41/'Supplemental Data'!P28</f>
        <v>0.23984584816763135</v>
      </c>
      <c r="Q319" s="82">
        <f>'Supplemental Data'!Q41/'Supplemental Data'!Q28</f>
        <v>0.25307356576961321</v>
      </c>
      <c r="R319" s="82">
        <f>'Supplemental Data'!R41/'Supplemental Data'!R28</f>
        <v>0.27203840242060151</v>
      </c>
      <c r="S319" s="82">
        <f>'Supplemental Data'!S41/'Supplemental Data'!S28</f>
        <v>0.25783465861822119</v>
      </c>
      <c r="T319" s="82">
        <f>'Supplemental Data'!T41/'Supplemental Data'!T28</f>
        <v>0.25483532101588097</v>
      </c>
      <c r="U319" s="46">
        <f>'Supplemental Data'!U41/'Supplemental Data'!U28</f>
        <v>0.25925920237939837</v>
      </c>
      <c r="V319" s="82">
        <f>'Supplemental Data'!V41/'Supplemental Data'!V28</f>
        <v>0.21924271344139143</v>
      </c>
      <c r="W319" s="82">
        <f>'Supplemental Data'!W41/'Supplemental Data'!W28</f>
        <v>0.19366764222152172</v>
      </c>
      <c r="X319" s="82">
        <f>'Supplemental Data'!X41/'Supplemental Data'!X28</f>
        <v>0.22769133430191688</v>
      </c>
      <c r="Y319" s="82">
        <f>'Supplemental Data'!Y41/'Supplemental Data'!Y28</f>
        <v>0.21160514358434307</v>
      </c>
      <c r="Z319" s="46">
        <f>'Supplemental Data'!Z41/'Supplemental Data'!Z28</f>
        <v>0.21319549873174107</v>
      </c>
      <c r="AA319" s="82">
        <f>'Supplemental Data'!AA41/'Supplemental Data'!AA28</f>
        <v>0.17195103417227506</v>
      </c>
      <c r="AB319" s="82">
        <f>'Supplemental Data'!AB41/'Supplemental Data'!AB28</f>
        <v>0.15984597005907855</v>
      </c>
      <c r="AC319" s="82">
        <f>'Supplemental Data'!AC41/'Supplemental Data'!AC28</f>
        <v>0.1588876291494499</v>
      </c>
      <c r="AD319" s="82">
        <f>'Supplemental Data'!AD41/'Supplemental Data'!AD28</f>
        <v>0.1647843780255675</v>
      </c>
      <c r="AE319" s="46">
        <f>'Supplemental Data'!AE41/'Supplemental Data'!AE28</f>
        <v>0.16358886903635567</v>
      </c>
      <c r="AF319" s="82">
        <f>'Supplemental Data'!AF41/'Supplemental Data'!AF28</f>
        <v>0.16051862816945983</v>
      </c>
      <c r="AG319" s="82">
        <f>'Supplemental Data'!AG41/'Supplemental Data'!AG28</f>
        <v>0.17734693495125822</v>
      </c>
      <c r="AH319" s="82">
        <f>'Supplemental Data'!AH41/'Supplemental Data'!AH28</f>
        <v>0.15189661087639231</v>
      </c>
      <c r="AI319" s="82">
        <f>'Supplemental Data'!AI41/'Supplemental Data'!AI28</f>
        <v>0.19833661981998418</v>
      </c>
      <c r="AJ319" s="46">
        <f>'Supplemental Data'!AJ41/'Supplemental Data'!AJ28</f>
        <v>0.17271907793585412</v>
      </c>
      <c r="AK319" s="82">
        <f>'Supplemental Data'!AK41/'Supplemental Data'!AK28</f>
        <v>0.16712038327680714</v>
      </c>
      <c r="AL319" s="82">
        <f>'Supplemental Data'!AL41/'Supplemental Data'!AL28</f>
        <v>0.13837589349251314</v>
      </c>
      <c r="AM319" s="82">
        <f>'Supplemental Data'!AM41/'Supplemental Data'!AM28</f>
        <v>0.12389519024209998</v>
      </c>
      <c r="AN319" s="82">
        <f>'Supplemental Data'!AN41/'Supplemental Data'!AN28</f>
        <v>0.16976737307310083</v>
      </c>
      <c r="AO319" s="46">
        <f>'Supplemental Data'!AO41/'Supplemental Data'!AO28</f>
        <v>0.14971611848844574</v>
      </c>
      <c r="AP319" s="185"/>
      <c r="AQ319" s="185"/>
      <c r="AR319" s="185"/>
      <c r="AS319" s="185"/>
      <c r="AT319" s="91"/>
      <c r="AU319" s="185"/>
      <c r="AV319" s="185"/>
      <c r="AW319" s="566"/>
      <c r="AX319" s="185"/>
      <c r="AY319" s="91"/>
      <c r="AZ319" s="185"/>
      <c r="BA319" s="185"/>
      <c r="BB319" s="185"/>
      <c r="BC319" s="185"/>
      <c r="BD319" s="91"/>
      <c r="BE319" s="91"/>
      <c r="BF319" s="91"/>
      <c r="BG319" s="91"/>
      <c r="BH319" s="67"/>
    </row>
    <row r="320" spans="1:60" customFormat="1" hidden="1" outlineLevel="2" x14ac:dyDescent="0.25">
      <c r="A320" s="66" t="s">
        <v>44</v>
      </c>
      <c r="B320" s="358"/>
      <c r="C320" s="97"/>
      <c r="D320" s="97"/>
      <c r="E320" s="97"/>
      <c r="F320" s="47">
        <f>'Supplemental Data'!F42/'Supplemental Data'!F30</f>
        <v>4.9170003307320441E-4</v>
      </c>
      <c r="G320" s="81">
        <f>'Supplemental Data'!G42/'Supplemental Data'!G30</f>
        <v>3.0416000460350273E-4</v>
      </c>
      <c r="H320" s="81">
        <f>'Supplemental Data'!H42/'Supplemental Data'!H30</f>
        <v>4.2602450286383141E-4</v>
      </c>
      <c r="I320" s="81">
        <f>'Supplemental Data'!I42/'Supplemental Data'!I30</f>
        <v>2.4339125143668446E-4</v>
      </c>
      <c r="J320" s="81">
        <f>'Supplemental Data'!J42/'Supplemental Data'!J30</f>
        <v>3.0479513078055675E-4</v>
      </c>
      <c r="K320" s="47">
        <f>'Supplemental Data'!K42/'Supplemental Data'!K30</f>
        <v>3.2059833310825572E-4</v>
      </c>
      <c r="L320" s="81">
        <f>'Supplemental Data'!L42/'Supplemental Data'!L30</f>
        <v>0</v>
      </c>
      <c r="M320" s="81">
        <f>'Supplemental Data'!M42/'Supplemental Data'!M30</f>
        <v>0</v>
      </c>
      <c r="N320" s="81">
        <f>'Supplemental Data'!N42/'Supplemental Data'!N30</f>
        <v>0</v>
      </c>
      <c r="O320" s="81">
        <f>'Supplemental Data'!O42/'Supplemental Data'!O30</f>
        <v>0</v>
      </c>
      <c r="P320" s="47">
        <f>'Supplemental Data'!P42/'Supplemental Data'!P30</f>
        <v>0</v>
      </c>
      <c r="Q320" s="81">
        <f>'Supplemental Data'!Q42/'Supplemental Data'!Q30</f>
        <v>0</v>
      </c>
      <c r="R320" s="81">
        <f>'Supplemental Data'!R42/'Supplemental Data'!R30</f>
        <v>0</v>
      </c>
      <c r="S320" s="81">
        <f>'Supplemental Data'!S42/'Supplemental Data'!S30</f>
        <v>0</v>
      </c>
      <c r="T320" s="81">
        <f>'Supplemental Data'!T42/'Supplemental Data'!T30</f>
        <v>0</v>
      </c>
      <c r="U320" s="47">
        <f>'Supplemental Data'!U42/'Supplemental Data'!U30</f>
        <v>0</v>
      </c>
      <c r="V320" s="81">
        <f>'Supplemental Data'!V42/'Supplemental Data'!V30</f>
        <v>0</v>
      </c>
      <c r="W320" s="81">
        <f>'Supplemental Data'!W42/'Supplemental Data'!W30</f>
        <v>0</v>
      </c>
      <c r="X320" s="81">
        <f>'Supplemental Data'!X42/'Supplemental Data'!X30</f>
        <v>0</v>
      </c>
      <c r="Y320" s="81">
        <f>'Supplemental Data'!Y42/'Supplemental Data'!Y30</f>
        <v>0</v>
      </c>
      <c r="Z320" s="47">
        <f>'Supplemental Data'!Z42/'Supplemental Data'!Z30</f>
        <v>0</v>
      </c>
      <c r="AA320" s="81">
        <f>'Supplemental Data'!AA42/'Supplemental Data'!AA30</f>
        <v>0</v>
      </c>
      <c r="AB320" s="81">
        <f>'Supplemental Data'!AB42/'Supplemental Data'!AB30</f>
        <v>0</v>
      </c>
      <c r="AC320" s="81">
        <f>'Supplemental Data'!AC42/'Supplemental Data'!AC30</f>
        <v>0</v>
      </c>
      <c r="AD320" s="81">
        <f>'Supplemental Data'!AD42/'Supplemental Data'!AD30</f>
        <v>0</v>
      </c>
      <c r="AE320" s="47">
        <f>'Supplemental Data'!AE42/'Supplemental Data'!AE30</f>
        <v>0</v>
      </c>
      <c r="AF320" s="81">
        <f>'Supplemental Data'!AF42/'Supplemental Data'!AF30</f>
        <v>0</v>
      </c>
      <c r="AG320" s="81">
        <f>'Supplemental Data'!AG42/'Supplemental Data'!AG30</f>
        <v>0</v>
      </c>
      <c r="AH320" s="81">
        <f>'Supplemental Data'!AH42/'Supplemental Data'!AH30</f>
        <v>0</v>
      </c>
      <c r="AI320" s="81">
        <f>'Supplemental Data'!AI42/'Supplemental Data'!AI30</f>
        <v>0</v>
      </c>
      <c r="AJ320" s="47">
        <f>'Supplemental Data'!AJ42/'Supplemental Data'!AJ30</f>
        <v>0</v>
      </c>
      <c r="AK320" s="81">
        <f>'Supplemental Data'!AK42/'Supplemental Data'!AK30</f>
        <v>0</v>
      </c>
      <c r="AL320" s="81">
        <f>'Supplemental Data'!AL42/'Supplemental Data'!AL30</f>
        <v>0</v>
      </c>
      <c r="AM320" s="81">
        <f>'Supplemental Data'!AM42/'Supplemental Data'!AM30</f>
        <v>0</v>
      </c>
      <c r="AN320" s="81">
        <f>'Supplemental Data'!AN42/'Supplemental Data'!AN30</f>
        <v>0</v>
      </c>
      <c r="AO320" s="47">
        <f>'Supplemental Data'!AO42/'Supplemental Data'!AO30</f>
        <v>0</v>
      </c>
      <c r="AP320" s="331"/>
      <c r="AQ320" s="331"/>
      <c r="AR320" s="331"/>
      <c r="AS320" s="331"/>
      <c r="AT320" s="97"/>
      <c r="AU320" s="331"/>
      <c r="AV320" s="331"/>
      <c r="AW320" s="567"/>
      <c r="AX320" s="331"/>
      <c r="AY320" s="97"/>
      <c r="AZ320" s="331"/>
      <c r="BA320" s="331"/>
      <c r="BB320" s="331"/>
      <c r="BC320" s="331"/>
      <c r="BD320" s="97"/>
      <c r="BE320" s="97"/>
      <c r="BF320" s="97"/>
      <c r="BG320" s="97"/>
      <c r="BH320" s="67"/>
    </row>
    <row r="321" spans="1:60" customFormat="1" hidden="1" outlineLevel="1" x14ac:dyDescent="0.25">
      <c r="A321" s="179" t="s">
        <v>45</v>
      </c>
      <c r="B321" s="160"/>
      <c r="C321" s="96">
        <f t="shared" ref="C321:AW321" si="217">C386/C379</f>
        <v>0.14233874902785121</v>
      </c>
      <c r="D321" s="96">
        <f t="shared" si="217"/>
        <v>0.13587145251719554</v>
      </c>
      <c r="E321" s="96">
        <f t="shared" si="217"/>
        <v>0.12564466386671314</v>
      </c>
      <c r="F321" s="96">
        <f t="shared" si="217"/>
        <v>0.12168846878686675</v>
      </c>
      <c r="G321" s="95">
        <f t="shared" si="217"/>
        <v>0.1162993512448228</v>
      </c>
      <c r="H321" s="95">
        <f t="shared" si="217"/>
        <v>0.10717598740195179</v>
      </c>
      <c r="I321" s="95">
        <f t="shared" si="217"/>
        <v>9.7855423015753173E-2</v>
      </c>
      <c r="J321" s="95">
        <f t="shared" si="217"/>
        <v>0.10892931596368376</v>
      </c>
      <c r="K321" s="96">
        <f t="shared" si="217"/>
        <v>0.10742606916989633</v>
      </c>
      <c r="L321" s="95">
        <f t="shared" si="217"/>
        <v>0.10794361654970637</v>
      </c>
      <c r="M321" s="95">
        <f t="shared" si="217"/>
        <v>9.0094277335167616E-2</v>
      </c>
      <c r="N321" s="95">
        <f t="shared" si="217"/>
        <v>0.10334233932534524</v>
      </c>
      <c r="O321" s="95">
        <f t="shared" si="217"/>
        <v>0.13717731463271393</v>
      </c>
      <c r="P321" s="96">
        <f t="shared" si="217"/>
        <v>0.11030407713034203</v>
      </c>
      <c r="Q321" s="95">
        <f t="shared" si="217"/>
        <v>0.12375145331374604</v>
      </c>
      <c r="R321" s="95">
        <f t="shared" si="217"/>
        <v>0.11986424222378143</v>
      </c>
      <c r="S321" s="95">
        <f t="shared" si="217"/>
        <v>0.11971202659986022</v>
      </c>
      <c r="T321" s="95">
        <f t="shared" si="217"/>
        <v>0.1229468232078287</v>
      </c>
      <c r="U321" s="96">
        <f t="shared" si="217"/>
        <v>0.1215562597361373</v>
      </c>
      <c r="V321" s="95">
        <f t="shared" si="217"/>
        <v>0.11823095657432871</v>
      </c>
      <c r="W321" s="95">
        <f t="shared" si="217"/>
        <v>0.11428346136526435</v>
      </c>
      <c r="X321" s="95">
        <f t="shared" si="217"/>
        <v>0.13580413485705103</v>
      </c>
      <c r="Y321" s="95">
        <f t="shared" si="217"/>
        <v>0.1269189894334746</v>
      </c>
      <c r="Z321" s="96">
        <f t="shared" si="217"/>
        <v>0.12428492110846869</v>
      </c>
      <c r="AA321" s="95">
        <f t="shared" si="217"/>
        <v>0.11611315180144388</v>
      </c>
      <c r="AB321" s="95">
        <f t="shared" si="217"/>
        <v>0.11170849811736933</v>
      </c>
      <c r="AC321" s="95">
        <f t="shared" si="217"/>
        <v>0.11807793935994967</v>
      </c>
      <c r="AD321" s="95">
        <f t="shared" si="217"/>
        <v>0.14198471888500513</v>
      </c>
      <c r="AE321" s="96">
        <f t="shared" si="217"/>
        <v>0.12283556433823356</v>
      </c>
      <c r="AF321" s="95">
        <f t="shared" si="217"/>
        <v>0.14504130936194221</v>
      </c>
      <c r="AG321" s="95">
        <f t="shared" si="217"/>
        <v>0.15151422860462674</v>
      </c>
      <c r="AH321" s="95">
        <f t="shared" si="217"/>
        <v>0.12760246978652159</v>
      </c>
      <c r="AI321" s="95">
        <f t="shared" si="217"/>
        <v>0.17444058659022399</v>
      </c>
      <c r="AJ321" s="96">
        <f t="shared" si="217"/>
        <v>0.15002012429641731</v>
      </c>
      <c r="AK321" s="95">
        <f t="shared" si="217"/>
        <v>0.13638113051294937</v>
      </c>
      <c r="AL321" s="95">
        <f t="shared" si="217"/>
        <v>0.12251387129614658</v>
      </c>
      <c r="AM321" s="95">
        <f t="shared" si="217"/>
        <v>0.10558761312168667</v>
      </c>
      <c r="AN321" s="95">
        <f t="shared" si="217"/>
        <v>0.16075859351937305</v>
      </c>
      <c r="AO321" s="96">
        <f t="shared" si="217"/>
        <v>0.13159372780331771</v>
      </c>
      <c r="AP321" s="95">
        <f t="shared" si="217"/>
        <v>8.7353847492870201E-2</v>
      </c>
      <c r="AQ321" s="95">
        <f t="shared" si="217"/>
        <v>7.0648958099867182E-2</v>
      </c>
      <c r="AR321" s="95">
        <f t="shared" si="217"/>
        <v>8.1980540543228272E-2</v>
      </c>
      <c r="AS321" s="95">
        <f t="shared" si="217"/>
        <v>0.11476734991440968</v>
      </c>
      <c r="AT321" s="96">
        <f t="shared" si="217"/>
        <v>8.9148544074313163E-2</v>
      </c>
      <c r="AU321" s="95">
        <f t="shared" si="217"/>
        <v>7.1547092519881242E-2</v>
      </c>
      <c r="AV321" s="95">
        <f t="shared" si="217"/>
        <v>8.2265233607612967E-2</v>
      </c>
      <c r="AW321" s="568">
        <f t="shared" si="217"/>
        <v>8.4980397454816059E-2</v>
      </c>
      <c r="AX321" s="60">
        <f t="shared" ref="AX321:BG321" si="218">AX386/AX379</f>
        <v>0.13276734991440967</v>
      </c>
      <c r="AY321" s="15">
        <f t="shared" si="218"/>
        <v>9.3492598057490897E-2</v>
      </c>
      <c r="AZ321" s="60">
        <f t="shared" si="218"/>
        <v>7.1047092519881241E-2</v>
      </c>
      <c r="BA321" s="60">
        <f t="shared" si="218"/>
        <v>8.1765233607612967E-2</v>
      </c>
      <c r="BB321" s="60">
        <f t="shared" si="218"/>
        <v>8.3980397454816058E-2</v>
      </c>
      <c r="BC321" s="60">
        <f t="shared" si="218"/>
        <v>0.12676734991440966</v>
      </c>
      <c r="BD321" s="15">
        <f t="shared" si="218"/>
        <v>9.1502635694858142E-2</v>
      </c>
      <c r="BE321" s="15">
        <f t="shared" si="218"/>
        <v>9.1002635694858142E-2</v>
      </c>
      <c r="BF321" s="15">
        <f t="shared" si="218"/>
        <v>9.0502635694858141E-2</v>
      </c>
      <c r="BG321" s="15">
        <f t="shared" si="218"/>
        <v>9.0002635694858141E-2</v>
      </c>
      <c r="BH321" s="70"/>
    </row>
    <row r="322" spans="1:60" customFormat="1" hidden="1" outlineLevel="1" x14ac:dyDescent="0.25">
      <c r="A322" s="180" t="s">
        <v>46</v>
      </c>
      <c r="B322" s="160"/>
      <c r="C322" s="15">
        <f t="shared" ref="C322:AW322" si="219">C387/C$379</f>
        <v>2.8003273724172575E-2</v>
      </c>
      <c r="D322" s="15">
        <f t="shared" si="219"/>
        <v>2.9806831975030344E-2</v>
      </c>
      <c r="E322" s="15">
        <f t="shared" si="219"/>
        <v>3.9611156168193176E-2</v>
      </c>
      <c r="F322" s="15">
        <f t="shared" si="219"/>
        <v>3.851624782990079E-2</v>
      </c>
      <c r="G322" s="60">
        <f t="shared" si="219"/>
        <v>4.3093438128991239E-2</v>
      </c>
      <c r="H322" s="60">
        <f t="shared" si="219"/>
        <v>4.0999764347673211E-2</v>
      </c>
      <c r="I322" s="60">
        <f t="shared" si="219"/>
        <v>4.1782135426885553E-2</v>
      </c>
      <c r="J322" s="60">
        <f t="shared" si="219"/>
        <v>3.9243382146473473E-2</v>
      </c>
      <c r="K322" s="15">
        <f t="shared" si="219"/>
        <v>4.1215783431575545E-2</v>
      </c>
      <c r="L322" s="60">
        <f t="shared" si="219"/>
        <v>4.4012663679474429E-2</v>
      </c>
      <c r="M322" s="60">
        <f t="shared" si="219"/>
        <v>4.4772968210401769E-2</v>
      </c>
      <c r="N322" s="60">
        <f t="shared" si="219"/>
        <v>5.5358470646331287E-2</v>
      </c>
      <c r="O322" s="60">
        <f t="shared" si="219"/>
        <v>5.1055142760155381E-2</v>
      </c>
      <c r="P322" s="15">
        <f t="shared" si="219"/>
        <v>4.9002335477457623E-2</v>
      </c>
      <c r="Q322" s="60">
        <f t="shared" si="219"/>
        <v>5.8157341197066489E-2</v>
      </c>
      <c r="R322" s="60">
        <f t="shared" si="219"/>
        <v>5.831236692053355E-2</v>
      </c>
      <c r="S322" s="60">
        <f t="shared" si="219"/>
        <v>6.3791342965044531E-2</v>
      </c>
      <c r="T322" s="60">
        <f t="shared" si="219"/>
        <v>5.9803667240158544E-2</v>
      </c>
      <c r="U322" s="15">
        <f t="shared" si="219"/>
        <v>6.0082356972353902E-2</v>
      </c>
      <c r="V322" s="60">
        <f t="shared" si="219"/>
        <v>3.6586649068107241E-2</v>
      </c>
      <c r="W322" s="60">
        <f t="shared" si="219"/>
        <v>3.7356474716939543E-2</v>
      </c>
      <c r="X322" s="60">
        <f t="shared" si="219"/>
        <v>3.5744227111486046E-2</v>
      </c>
      <c r="Y322" s="60">
        <f t="shared" si="219"/>
        <v>3.3715688257025825E-2</v>
      </c>
      <c r="Z322" s="15">
        <f t="shared" si="219"/>
        <v>3.5746215830306856E-2</v>
      </c>
      <c r="AA322" s="60">
        <f t="shared" si="219"/>
        <v>3.7526240833486615E-2</v>
      </c>
      <c r="AB322" s="60">
        <f t="shared" si="219"/>
        <v>4.0322545902585709E-2</v>
      </c>
      <c r="AC322" s="60">
        <f t="shared" si="219"/>
        <v>3.5956137291577255E-2</v>
      </c>
      <c r="AD322" s="60">
        <f t="shared" si="219"/>
        <v>3.4226228066304397E-2</v>
      </c>
      <c r="AE322" s="15">
        <f t="shared" si="219"/>
        <v>3.6864241857300355E-2</v>
      </c>
      <c r="AF322" s="60">
        <f t="shared" si="219"/>
        <v>3.6373206631114527E-2</v>
      </c>
      <c r="AG322" s="60">
        <f t="shared" si="219"/>
        <v>3.8780017761762049E-2</v>
      </c>
      <c r="AH322" s="60">
        <f t="shared" si="219"/>
        <v>4.2163598603181397E-2</v>
      </c>
      <c r="AI322" s="60">
        <f t="shared" si="219"/>
        <v>4.1924209684580813E-2</v>
      </c>
      <c r="AJ322" s="15">
        <f t="shared" si="219"/>
        <v>3.9906318345285817E-2</v>
      </c>
      <c r="AK322" s="60">
        <f t="shared" si="219"/>
        <v>4.4669842370877892E-2</v>
      </c>
      <c r="AL322" s="60">
        <f t="shared" si="219"/>
        <v>4.5633090912340885E-2</v>
      </c>
      <c r="AM322" s="60">
        <f t="shared" si="219"/>
        <v>4.4457239930942506E-2</v>
      </c>
      <c r="AN322" s="60">
        <f t="shared" si="219"/>
        <v>4.6564073750135798E-2</v>
      </c>
      <c r="AO322" s="15">
        <f t="shared" si="219"/>
        <v>4.5363600043202057E-2</v>
      </c>
      <c r="AP322" s="60">
        <f t="shared" si="219"/>
        <v>4.3706745038872577E-2</v>
      </c>
      <c r="AQ322" s="60">
        <f t="shared" si="219"/>
        <v>4.5091591380101707E-2</v>
      </c>
      <c r="AR322" s="60">
        <f t="shared" si="219"/>
        <v>4.2206233819589274E-2</v>
      </c>
      <c r="AS322" s="60">
        <f t="shared" si="219"/>
        <v>4.1469095523747522E-2</v>
      </c>
      <c r="AT322" s="15">
        <f t="shared" si="219"/>
        <v>4.3066234129096208E-2</v>
      </c>
      <c r="AU322" s="60">
        <f t="shared" si="219"/>
        <v>4.1488803595893617E-2</v>
      </c>
      <c r="AV322" s="60">
        <f t="shared" si="219"/>
        <v>4.5608168158744133E-2</v>
      </c>
      <c r="AW322" s="570">
        <f t="shared" si="219"/>
        <v>4.300012280404257E-2</v>
      </c>
      <c r="AX322" s="60">
        <f t="shared" ref="AX322:BG322" si="220">AX387/AX$379</f>
        <v>5.3469095523747526E-2</v>
      </c>
      <c r="AY322" s="15">
        <f t="shared" si="220"/>
        <v>4.6001514840342143E-2</v>
      </c>
      <c r="AZ322" s="60">
        <f t="shared" si="220"/>
        <v>4.0988803595893616E-2</v>
      </c>
      <c r="BA322" s="60">
        <f t="shared" si="220"/>
        <v>4.3608168158744132E-2</v>
      </c>
      <c r="BB322" s="60">
        <f t="shared" si="220"/>
        <v>4.1000122804042569E-2</v>
      </c>
      <c r="BC322" s="60">
        <f t="shared" si="220"/>
        <v>5.1469095523747524E-2</v>
      </c>
      <c r="BD322" s="15">
        <f t="shared" si="220"/>
        <v>4.4371337348613989E-2</v>
      </c>
      <c r="BE322" s="15">
        <f t="shared" si="220"/>
        <v>4.3371337348613988E-2</v>
      </c>
      <c r="BF322" s="15">
        <f t="shared" si="220"/>
        <v>4.2871337348613987E-2</v>
      </c>
      <c r="BG322" s="15">
        <f t="shared" si="220"/>
        <v>4.2371337348613987E-2</v>
      </c>
      <c r="BH322" s="70"/>
    </row>
    <row r="323" spans="1:60" s="57" customFormat="1" hidden="1" outlineLevel="1" x14ac:dyDescent="0.25">
      <c r="A323" s="59" t="s">
        <v>590</v>
      </c>
      <c r="B323" s="161"/>
      <c r="C323" s="50">
        <f t="shared" ref="C323:AH323" si="221">C388/C379</f>
        <v>0.11491502267000107</v>
      </c>
      <c r="D323" s="50">
        <f t="shared" si="221"/>
        <v>0.13115588694295124</v>
      </c>
      <c r="E323" s="50">
        <f t="shared" si="221"/>
        <v>0.11735339796796897</v>
      </c>
      <c r="F323" s="50">
        <f t="shared" si="221"/>
        <v>1.3850954289523564E-2</v>
      </c>
      <c r="G323" s="78">
        <f t="shared" si="221"/>
        <v>3.1077355485218706E-2</v>
      </c>
      <c r="H323" s="78">
        <f t="shared" si="221"/>
        <v>5.3411722020026774E-2</v>
      </c>
      <c r="I323" s="78">
        <f t="shared" si="221"/>
        <v>5.1645616316108839E-2</v>
      </c>
      <c r="J323" s="78">
        <f t="shared" si="221"/>
        <v>7.0018634650237957E-2</v>
      </c>
      <c r="K323" s="50">
        <f t="shared" si="221"/>
        <v>5.2198825848164911E-2</v>
      </c>
      <c r="L323" s="78">
        <f t="shared" si="221"/>
        <v>7.6841071767411506E-2</v>
      </c>
      <c r="M323" s="78">
        <f t="shared" si="221"/>
        <v>9.6687051022562531E-2</v>
      </c>
      <c r="N323" s="78">
        <f t="shared" si="221"/>
        <v>7.8334392861805352E-2</v>
      </c>
      <c r="O323" s="78">
        <f t="shared" si="221"/>
        <v>4.3810044668114105E-2</v>
      </c>
      <c r="P323" s="50">
        <f t="shared" si="221"/>
        <v>7.3146805177289859E-2</v>
      </c>
      <c r="Q323" s="78">
        <f t="shared" si="221"/>
        <v>6.1950418560715488E-2</v>
      </c>
      <c r="R323" s="78">
        <f t="shared" si="221"/>
        <v>4.5500865206536886E-2</v>
      </c>
      <c r="S323" s="78">
        <f t="shared" si="221"/>
        <v>4.2362463363352081E-2</v>
      </c>
      <c r="T323" s="78">
        <f t="shared" si="221"/>
        <v>3.2848634890061651E-2</v>
      </c>
      <c r="U323" s="50">
        <f t="shared" si="221"/>
        <v>4.5110333178897517E-2</v>
      </c>
      <c r="V323" s="78">
        <f t="shared" si="221"/>
        <v>2.526030067383965E-2</v>
      </c>
      <c r="W323" s="78">
        <f t="shared" si="221"/>
        <v>3.3426689289969155E-2</v>
      </c>
      <c r="X323" s="78">
        <f t="shared" si="221"/>
        <v>4.6300129072373124E-2</v>
      </c>
      <c r="Y323" s="92">
        <f t="shared" si="221"/>
        <v>6.2131766941495352E-2</v>
      </c>
      <c r="Z323" s="93">
        <f t="shared" si="221"/>
        <v>4.3008406271370793E-2</v>
      </c>
      <c r="AA323" s="78">
        <f t="shared" si="221"/>
        <v>9.7450727916454191E-2</v>
      </c>
      <c r="AB323" s="78">
        <f t="shared" si="221"/>
        <v>4.5883558358679209E-2</v>
      </c>
      <c r="AC323" s="78">
        <f t="shared" si="221"/>
        <v>6.9895093872105796E-2</v>
      </c>
      <c r="AD323" s="92">
        <f t="shared" si="221"/>
        <v>7.465650969107554E-2</v>
      </c>
      <c r="AE323" s="93">
        <f t="shared" si="221"/>
        <v>7.1726638633822587E-2</v>
      </c>
      <c r="AF323" s="78">
        <f t="shared" si="221"/>
        <v>0.12066883985758972</v>
      </c>
      <c r="AG323" s="78">
        <f t="shared" si="221"/>
        <v>0.11829563864283757</v>
      </c>
      <c r="AH323" s="78">
        <f t="shared" si="221"/>
        <v>0.12018580907912081</v>
      </c>
      <c r="AI323" s="92">
        <f t="shared" ref="AI323:BG323" si="222">AI388/AI379</f>
        <v>5.1534557916099524E-2</v>
      </c>
      <c r="AJ323" s="93">
        <f t="shared" si="222"/>
        <v>0.10163298361102877</v>
      </c>
      <c r="AK323" s="78">
        <f t="shared" si="222"/>
        <v>0.10154497066130624</v>
      </c>
      <c r="AL323" s="78">
        <f t="shared" si="222"/>
        <v>0.14349022042137538</v>
      </c>
      <c r="AM323" s="78">
        <f t="shared" si="222"/>
        <v>0.18689356623237216</v>
      </c>
      <c r="AN323" s="92">
        <f t="shared" si="222"/>
        <v>8.3862374927616931E-2</v>
      </c>
      <c r="AO323" s="93">
        <f t="shared" si="222"/>
        <v>0.12920203645017403</v>
      </c>
      <c r="AP323" s="78">
        <f t="shared" si="222"/>
        <v>0.1661420488718969</v>
      </c>
      <c r="AQ323" s="78">
        <f t="shared" si="222"/>
        <v>0.22086285511116438</v>
      </c>
      <c r="AR323" s="78">
        <f t="shared" si="222"/>
        <v>0.20430968993434517</v>
      </c>
      <c r="AS323" s="92">
        <f t="shared" si="222"/>
        <v>0.14361506955738393</v>
      </c>
      <c r="AT323" s="93">
        <f t="shared" si="222"/>
        <v>0.18344049957321271</v>
      </c>
      <c r="AU323" s="78">
        <f t="shared" si="222"/>
        <v>0.27359749343945977</v>
      </c>
      <c r="AV323" s="78">
        <f t="shared" si="222"/>
        <v>0.25165978209362672</v>
      </c>
      <c r="AW323" s="569">
        <f t="shared" si="222"/>
        <v>0.23455077706629826</v>
      </c>
      <c r="AX323" s="92">
        <f t="shared" si="222"/>
        <v>6.8352858810454553E-2</v>
      </c>
      <c r="AY323" s="93">
        <f t="shared" si="222"/>
        <v>0.20499063528394235</v>
      </c>
      <c r="AZ323" s="92">
        <f t="shared" si="222"/>
        <v>0.27355304428314348</v>
      </c>
      <c r="BA323" s="92">
        <f t="shared" si="222"/>
        <v>0.26032840350988928</v>
      </c>
      <c r="BB323" s="92">
        <f t="shared" si="222"/>
        <v>0.25383097013551925</v>
      </c>
      <c r="BC323" s="92">
        <f t="shared" si="222"/>
        <v>0.16914998773942691</v>
      </c>
      <c r="BD323" s="93">
        <f t="shared" si="222"/>
        <v>0.23805743804138813</v>
      </c>
      <c r="BE323" s="93">
        <f t="shared" si="222"/>
        <v>0.26860301988868329</v>
      </c>
      <c r="BF323" s="93">
        <f t="shared" si="222"/>
        <v>0.29317905887349144</v>
      </c>
      <c r="BG323" s="93">
        <f t="shared" si="222"/>
        <v>0.32715611625457514</v>
      </c>
      <c r="BH323" s="70"/>
    </row>
    <row r="324" spans="1:60" s="57" customFormat="1" hidden="1" outlineLevel="1" x14ac:dyDescent="0.25">
      <c r="A324" s="797" t="str">
        <f>CONCATENATE("Adjusted ",A323,IFERROR(" - "&amp;RIGHT(A389,FIND("(",A389)+1),""))</f>
        <v>Adjusted EBIT Margin, % - (No Adjustments)</v>
      </c>
      <c r="B324" s="160"/>
      <c r="C324" s="15">
        <f t="shared" ref="C324:AH324" si="223">C389/C379</f>
        <v>0.11491502267000107</v>
      </c>
      <c r="D324" s="15">
        <f t="shared" si="223"/>
        <v>0.13115588694295124</v>
      </c>
      <c r="E324" s="15">
        <f t="shared" si="223"/>
        <v>0.11735339796796897</v>
      </c>
      <c r="F324" s="15">
        <f t="shared" si="223"/>
        <v>1.3850954289523564E-2</v>
      </c>
      <c r="G324" s="60">
        <f t="shared" si="223"/>
        <v>3.1077355485218706E-2</v>
      </c>
      <c r="H324" s="60">
        <f t="shared" si="223"/>
        <v>5.3411722020026774E-2</v>
      </c>
      <c r="I324" s="60">
        <f t="shared" si="223"/>
        <v>5.1645616316108839E-2</v>
      </c>
      <c r="J324" s="60">
        <f t="shared" si="223"/>
        <v>7.0018634650237957E-2</v>
      </c>
      <c r="K324" s="15">
        <f t="shared" si="223"/>
        <v>5.2198825848164911E-2</v>
      </c>
      <c r="L324" s="60">
        <f t="shared" si="223"/>
        <v>7.6841071767411506E-2</v>
      </c>
      <c r="M324" s="60">
        <f t="shared" si="223"/>
        <v>9.6687051022562531E-2</v>
      </c>
      <c r="N324" s="60">
        <f t="shared" si="223"/>
        <v>7.8334392861805352E-2</v>
      </c>
      <c r="O324" s="60">
        <f t="shared" si="223"/>
        <v>4.3810044668114105E-2</v>
      </c>
      <c r="P324" s="15">
        <f t="shared" si="223"/>
        <v>7.3146805177289859E-2</v>
      </c>
      <c r="Q324" s="60">
        <f t="shared" si="223"/>
        <v>6.1950418560715488E-2</v>
      </c>
      <c r="R324" s="60">
        <f t="shared" si="223"/>
        <v>4.5500865206536886E-2</v>
      </c>
      <c r="S324" s="60">
        <f t="shared" si="223"/>
        <v>4.2362463363352081E-2</v>
      </c>
      <c r="T324" s="60">
        <f t="shared" si="223"/>
        <v>3.2848634890061651E-2</v>
      </c>
      <c r="U324" s="15">
        <f t="shared" si="223"/>
        <v>4.5110333178897517E-2</v>
      </c>
      <c r="V324" s="60">
        <f t="shared" si="223"/>
        <v>2.526030067383965E-2</v>
      </c>
      <c r="W324" s="60">
        <f t="shared" si="223"/>
        <v>3.3426689289969155E-2</v>
      </c>
      <c r="X324" s="60">
        <f t="shared" si="223"/>
        <v>4.6300129072373124E-2</v>
      </c>
      <c r="Y324" s="95">
        <f t="shared" si="223"/>
        <v>6.2131766941495352E-2</v>
      </c>
      <c r="Z324" s="96">
        <f t="shared" si="223"/>
        <v>4.3008406271370793E-2</v>
      </c>
      <c r="AA324" s="60">
        <f t="shared" si="223"/>
        <v>9.7450727916454191E-2</v>
      </c>
      <c r="AB324" s="60">
        <f t="shared" si="223"/>
        <v>4.5883558358679209E-2</v>
      </c>
      <c r="AC324" s="60">
        <f t="shared" si="223"/>
        <v>6.9895093872105796E-2</v>
      </c>
      <c r="AD324" s="95">
        <f t="shared" si="223"/>
        <v>7.465650969107554E-2</v>
      </c>
      <c r="AE324" s="96">
        <f t="shared" si="223"/>
        <v>7.1726638633822587E-2</v>
      </c>
      <c r="AF324" s="60">
        <f t="shared" si="223"/>
        <v>0.12066883985758972</v>
      </c>
      <c r="AG324" s="60">
        <f t="shared" si="223"/>
        <v>0.11829563864283757</v>
      </c>
      <c r="AH324" s="60">
        <f t="shared" si="223"/>
        <v>0.12018580907912081</v>
      </c>
      <c r="AI324" s="95">
        <f t="shared" ref="AI324:BG324" si="224">AI389/AI379</f>
        <v>5.1534557916099524E-2</v>
      </c>
      <c r="AJ324" s="96">
        <f t="shared" si="224"/>
        <v>0.10163298361102877</v>
      </c>
      <c r="AK324" s="60">
        <f t="shared" si="224"/>
        <v>0.10154497066130624</v>
      </c>
      <c r="AL324" s="60">
        <f t="shared" si="224"/>
        <v>0.14349022042137538</v>
      </c>
      <c r="AM324" s="60">
        <f t="shared" si="224"/>
        <v>0.18689356623237216</v>
      </c>
      <c r="AN324" s="95">
        <f t="shared" si="224"/>
        <v>8.3862374927616931E-2</v>
      </c>
      <c r="AO324" s="96">
        <f t="shared" si="224"/>
        <v>0.12920203645017403</v>
      </c>
      <c r="AP324" s="60">
        <f t="shared" si="224"/>
        <v>0.1661420488718969</v>
      </c>
      <c r="AQ324" s="60">
        <f t="shared" si="224"/>
        <v>0.22086285511116438</v>
      </c>
      <c r="AR324" s="60">
        <f t="shared" si="224"/>
        <v>0.20430968993434517</v>
      </c>
      <c r="AS324" s="95">
        <f t="shared" si="224"/>
        <v>0.14361506955738393</v>
      </c>
      <c r="AT324" s="96">
        <f t="shared" si="224"/>
        <v>0.18344049957321271</v>
      </c>
      <c r="AU324" s="60">
        <f t="shared" si="224"/>
        <v>0.27359749343945977</v>
      </c>
      <c r="AV324" s="60">
        <f t="shared" si="224"/>
        <v>0.25165978209362672</v>
      </c>
      <c r="AW324" s="570">
        <f t="shared" si="224"/>
        <v>0.23455077706629826</v>
      </c>
      <c r="AX324" s="95">
        <f t="shared" si="224"/>
        <v>6.8352858810454553E-2</v>
      </c>
      <c r="AY324" s="96">
        <f t="shared" si="224"/>
        <v>0.20499063528394235</v>
      </c>
      <c r="AZ324" s="95">
        <f t="shared" si="224"/>
        <v>0.27355304428314348</v>
      </c>
      <c r="BA324" s="95">
        <f t="shared" si="224"/>
        <v>0.26032840350988928</v>
      </c>
      <c r="BB324" s="95">
        <f t="shared" si="224"/>
        <v>0.25383097013551925</v>
      </c>
      <c r="BC324" s="95">
        <f t="shared" si="224"/>
        <v>0.16914998773942691</v>
      </c>
      <c r="BD324" s="96">
        <f t="shared" si="224"/>
        <v>0.23805743804138813</v>
      </c>
      <c r="BE324" s="96">
        <f t="shared" si="224"/>
        <v>0.26860301988868329</v>
      </c>
      <c r="BF324" s="96">
        <f t="shared" si="224"/>
        <v>0.29317905887349144</v>
      </c>
      <c r="BG324" s="96">
        <f t="shared" si="224"/>
        <v>0.32715611625457514</v>
      </c>
      <c r="BH324" s="70"/>
    </row>
    <row r="325" spans="1:60" s="57" customFormat="1" hidden="1" outlineLevel="1" x14ac:dyDescent="0.25">
      <c r="A325" s="151" t="s">
        <v>592</v>
      </c>
      <c r="B325" s="643"/>
      <c r="C325" s="165"/>
      <c r="D325" s="165"/>
      <c r="E325" s="165"/>
      <c r="F325" s="165"/>
      <c r="G325" s="474"/>
      <c r="H325" s="474"/>
      <c r="I325" s="474"/>
      <c r="J325" s="474"/>
      <c r="K325" s="165"/>
      <c r="L325" s="474"/>
      <c r="M325" s="474"/>
      <c r="N325" s="474"/>
      <c r="O325" s="474"/>
      <c r="P325" s="165"/>
      <c r="Q325" s="474"/>
      <c r="R325" s="474"/>
      <c r="S325" s="474"/>
      <c r="T325" s="474"/>
      <c r="U325" s="165"/>
      <c r="V325" s="474"/>
      <c r="W325" s="474"/>
      <c r="X325" s="474"/>
      <c r="Y325" s="474"/>
      <c r="Z325" s="165"/>
      <c r="AA325" s="474"/>
      <c r="AB325" s="474"/>
      <c r="AC325" s="474"/>
      <c r="AD325" s="474"/>
      <c r="AE325" s="165"/>
      <c r="AF325" s="474"/>
      <c r="AG325" s="474"/>
      <c r="AH325" s="474"/>
      <c r="AI325" s="474"/>
      <c r="AJ325" s="165"/>
      <c r="AK325" s="474"/>
      <c r="AL325" s="474"/>
      <c r="AM325" s="474"/>
      <c r="AN325" s="474"/>
      <c r="AO325" s="165"/>
      <c r="AP325" s="474"/>
      <c r="AQ325" s="474"/>
      <c r="AR325" s="474"/>
      <c r="AS325" s="474"/>
      <c r="AT325" s="165"/>
      <c r="AU325" s="474"/>
      <c r="AV325" s="474"/>
      <c r="AW325" s="598"/>
      <c r="AX325" s="474">
        <f t="shared" ref="AX325:BG325" ca="1" si="225">IFERROR(AX390/AX380,0)</f>
        <v>0</v>
      </c>
      <c r="AY325" s="165">
        <f t="shared" ca="1" si="225"/>
        <v>0</v>
      </c>
      <c r="AZ325" s="474">
        <f t="shared" ca="1" si="225"/>
        <v>0</v>
      </c>
      <c r="BA325" s="474">
        <f t="shared" ca="1" si="225"/>
        <v>0</v>
      </c>
      <c r="BB325" s="474">
        <f t="shared" ca="1" si="225"/>
        <v>0</v>
      </c>
      <c r="BC325" s="474">
        <f t="shared" ca="1" si="225"/>
        <v>0</v>
      </c>
      <c r="BD325" s="165">
        <f t="shared" ca="1" si="225"/>
        <v>0</v>
      </c>
      <c r="BE325" s="165">
        <f t="shared" ca="1" si="225"/>
        <v>0</v>
      </c>
      <c r="BF325" s="165">
        <f t="shared" ca="1" si="225"/>
        <v>0</v>
      </c>
      <c r="BG325" s="165">
        <f t="shared" ca="1" si="225"/>
        <v>0</v>
      </c>
      <c r="BH325" s="70"/>
    </row>
    <row r="326" spans="1:60" s="57" customFormat="1" hidden="1" outlineLevel="1" x14ac:dyDescent="0.25">
      <c r="A326" s="678"/>
      <c r="B326" s="160"/>
      <c r="C326" s="96"/>
      <c r="D326" s="96"/>
      <c r="E326" s="96"/>
      <c r="F326" s="96"/>
      <c r="G326" s="95"/>
      <c r="H326" s="95"/>
      <c r="I326" s="95"/>
      <c r="J326" s="95"/>
      <c r="K326" s="96"/>
      <c r="L326" s="95"/>
      <c r="M326" s="95"/>
      <c r="N326" s="95"/>
      <c r="O326" s="95"/>
      <c r="P326" s="96"/>
      <c r="Q326" s="95"/>
      <c r="R326" s="95"/>
      <c r="S326" s="95"/>
      <c r="T326" s="95"/>
      <c r="U326" s="96"/>
      <c r="V326" s="95"/>
      <c r="W326" s="95"/>
      <c r="X326" s="95"/>
      <c r="Y326" s="95"/>
      <c r="Z326" s="96"/>
      <c r="AA326" s="95"/>
      <c r="AB326" s="95"/>
      <c r="AC326" s="95"/>
      <c r="AD326" s="95"/>
      <c r="AE326" s="96"/>
      <c r="AF326" s="95"/>
      <c r="AG326" s="95"/>
      <c r="AH326" s="95"/>
      <c r="AI326" s="95"/>
      <c r="AJ326" s="96"/>
      <c r="AK326" s="95"/>
      <c r="AL326" s="95"/>
      <c r="AM326" s="95"/>
      <c r="AN326" s="95"/>
      <c r="AO326" s="96"/>
      <c r="AP326" s="95"/>
      <c r="AQ326" s="95"/>
      <c r="AR326" s="95"/>
      <c r="AS326" s="95"/>
      <c r="AT326" s="96"/>
      <c r="AU326" s="95"/>
      <c r="AV326" s="95"/>
      <c r="AW326" s="568"/>
      <c r="AX326" s="95"/>
      <c r="AY326" s="96"/>
      <c r="AZ326" s="95"/>
      <c r="BA326" s="95"/>
      <c r="BB326" s="95"/>
      <c r="BC326" s="95"/>
      <c r="BD326" s="96"/>
      <c r="BE326" s="96"/>
      <c r="BF326" s="96"/>
      <c r="BG326" s="96"/>
      <c r="BH326" s="70"/>
    </row>
    <row r="327" spans="1:60" s="57" customFormat="1" hidden="1" outlineLevel="1" x14ac:dyDescent="0.25">
      <c r="A327" s="175" t="s">
        <v>594</v>
      </c>
      <c r="B327" s="258"/>
      <c r="C327" s="46">
        <f t="shared" ref="C327:AH327" si="226">C392/C379</f>
        <v>2.2777169426002636E-2</v>
      </c>
      <c r="D327" s="46">
        <f t="shared" si="226"/>
        <v>1.7617016357435986E-2</v>
      </c>
      <c r="E327" s="46">
        <f t="shared" si="226"/>
        <v>1.3651411715181128E-2</v>
      </c>
      <c r="F327" s="46">
        <f t="shared" si="226"/>
        <v>1.2597796459240369E-2</v>
      </c>
      <c r="G327" s="82">
        <f t="shared" si="226"/>
        <v>1.1769002921009688E-2</v>
      </c>
      <c r="H327" s="82">
        <f t="shared" si="226"/>
        <v>1.1245852706074221E-2</v>
      </c>
      <c r="I327" s="82">
        <f t="shared" si="226"/>
        <v>1.0354439741808085E-2</v>
      </c>
      <c r="J327" s="82">
        <f t="shared" si="226"/>
        <v>1.0929775448210144E-2</v>
      </c>
      <c r="K327" s="46">
        <f t="shared" si="226"/>
        <v>1.1058021351623317E-2</v>
      </c>
      <c r="L327" s="82">
        <f t="shared" si="226"/>
        <v>9.7489231069633701E-3</v>
      </c>
      <c r="M327" s="82">
        <f t="shared" si="226"/>
        <v>9.6813878172823647E-3</v>
      </c>
      <c r="N327" s="82">
        <f t="shared" si="226"/>
        <v>1.018637295023811E-2</v>
      </c>
      <c r="O327" s="82">
        <f t="shared" si="226"/>
        <v>9.6394760521792532E-3</v>
      </c>
      <c r="P327" s="46">
        <f t="shared" si="226"/>
        <v>9.8149639141846459E-3</v>
      </c>
      <c r="Q327" s="82">
        <f t="shared" si="226"/>
        <v>9.6412945155800959E-3</v>
      </c>
      <c r="R327" s="82">
        <f t="shared" si="226"/>
        <v>9.473494765591655E-3</v>
      </c>
      <c r="S327" s="82">
        <f t="shared" si="226"/>
        <v>9.2311409349643773E-3</v>
      </c>
      <c r="T327" s="82">
        <f t="shared" si="226"/>
        <v>8.4943342768435577E-3</v>
      </c>
      <c r="U327" s="46">
        <f t="shared" si="226"/>
        <v>9.1869457841428376E-3</v>
      </c>
      <c r="V327" s="82">
        <f t="shared" si="226"/>
        <v>7.5587311057262055E-3</v>
      </c>
      <c r="W327" s="82">
        <f t="shared" si="226"/>
        <v>6.7124136188226879E-3</v>
      </c>
      <c r="X327" s="82">
        <f t="shared" si="226"/>
        <v>6.2920598658276084E-3</v>
      </c>
      <c r="Y327" s="185">
        <f t="shared" si="226"/>
        <v>5.7270495220866193E-3</v>
      </c>
      <c r="Z327" s="91">
        <f t="shared" si="226"/>
        <v>6.5145687150090217E-3</v>
      </c>
      <c r="AA327" s="82">
        <f t="shared" si="226"/>
        <v>5.7076538845915337E-3</v>
      </c>
      <c r="AB327" s="82">
        <f t="shared" si="226"/>
        <v>6.659931702581689E-3</v>
      </c>
      <c r="AC327" s="82">
        <f t="shared" si="226"/>
        <v>6.4451955687019049E-3</v>
      </c>
      <c r="AD327" s="185">
        <f t="shared" si="226"/>
        <v>5.8047541584810803E-3</v>
      </c>
      <c r="AE327" s="91">
        <f t="shared" si="226"/>
        <v>6.1500697058073693E-3</v>
      </c>
      <c r="AF327" s="82">
        <f t="shared" si="226"/>
        <v>5.1450259075197739E-3</v>
      </c>
      <c r="AG327" s="82">
        <f t="shared" si="226"/>
        <v>5.051097057536336E-3</v>
      </c>
      <c r="AH327" s="82">
        <f t="shared" si="226"/>
        <v>5.2910780537154074E-3</v>
      </c>
      <c r="AI327" s="185">
        <f t="shared" ref="AI327:BG327" si="227">AI392/AI379</f>
        <v>5.5457085664346916E-3</v>
      </c>
      <c r="AJ327" s="91">
        <f t="shared" si="227"/>
        <v>5.264986997558176E-3</v>
      </c>
      <c r="AK327" s="82">
        <f t="shared" si="227"/>
        <v>5.211466863909513E-3</v>
      </c>
      <c r="AL327" s="82">
        <f t="shared" si="227"/>
        <v>5.1788338930059746E-3</v>
      </c>
      <c r="AM327" s="82">
        <f t="shared" si="227"/>
        <v>5.0914172897316527E-3</v>
      </c>
      <c r="AN327" s="185">
        <f t="shared" si="227"/>
        <v>5.0879443629314952E-3</v>
      </c>
      <c r="AO327" s="91">
        <f t="shared" si="227"/>
        <v>5.1387528764370027E-3</v>
      </c>
      <c r="AP327" s="82">
        <f t="shared" si="227"/>
        <v>4.9442662583692506E-3</v>
      </c>
      <c r="AQ327" s="82">
        <f t="shared" si="227"/>
        <v>4.3363304829996518E-3</v>
      </c>
      <c r="AR327" s="82">
        <f t="shared" si="227"/>
        <v>4.4422953003719753E-3</v>
      </c>
      <c r="AS327" s="185">
        <f t="shared" si="227"/>
        <v>4.8074766850248656E-3</v>
      </c>
      <c r="AT327" s="91">
        <f t="shared" si="227"/>
        <v>4.6291302915948017E-3</v>
      </c>
      <c r="AU327" s="82">
        <f t="shared" si="227"/>
        <v>4.9894727025963795E-3</v>
      </c>
      <c r="AV327" s="82">
        <f t="shared" si="227"/>
        <v>5.2349724051820147E-3</v>
      </c>
      <c r="AW327" s="644">
        <f t="shared" si="227"/>
        <v>9.3877610471189369E-3</v>
      </c>
      <c r="AX327" s="185">
        <f t="shared" si="227"/>
        <v>9.9547745534790451E-3</v>
      </c>
      <c r="AY327" s="91">
        <f t="shared" si="227"/>
        <v>7.4486084103345509E-3</v>
      </c>
      <c r="AZ327" s="185">
        <f t="shared" si="227"/>
        <v>8.4323388696156566E-3</v>
      </c>
      <c r="BA327" s="185">
        <f t="shared" si="227"/>
        <v>8.5057862726010524E-3</v>
      </c>
      <c r="BB327" s="185">
        <f t="shared" si="227"/>
        <v>8.554723489517118E-3</v>
      </c>
      <c r="BC327" s="185">
        <f t="shared" si="227"/>
        <v>8.4828741387501152E-3</v>
      </c>
      <c r="BD327" s="91">
        <f t="shared" si="227"/>
        <v>8.4946229968701197E-3</v>
      </c>
      <c r="BE327" s="91">
        <f t="shared" si="227"/>
        <v>7.9330580509019318E-3</v>
      </c>
      <c r="BF327" s="91">
        <f t="shared" si="227"/>
        <v>7.4867369710825242E-3</v>
      </c>
      <c r="BG327" s="91">
        <f t="shared" si="227"/>
        <v>6.915867864529069E-3</v>
      </c>
      <c r="BH327" s="70"/>
    </row>
    <row r="328" spans="1:60" s="57" customFormat="1" hidden="1" outlineLevel="1" x14ac:dyDescent="0.25">
      <c r="A328" s="175" t="s">
        <v>595</v>
      </c>
      <c r="B328" s="258"/>
      <c r="C328" s="46">
        <f t="shared" ref="C328:AH328" si="228">C393/C379</f>
        <v>7.5544717647277179E-3</v>
      </c>
      <c r="D328" s="46">
        <f t="shared" si="228"/>
        <v>1.2945378879833535E-2</v>
      </c>
      <c r="E328" s="46">
        <f t="shared" si="228"/>
        <v>1.921688884367578E-2</v>
      </c>
      <c r="F328" s="46">
        <f t="shared" si="228"/>
        <v>2.0488285481710763E-2</v>
      </c>
      <c r="G328" s="82">
        <f t="shared" si="228"/>
        <v>1.7330738182411244E-2</v>
      </c>
      <c r="H328" s="82">
        <f t="shared" si="228"/>
        <v>1.6790228283515934E-2</v>
      </c>
      <c r="I328" s="82">
        <f t="shared" si="228"/>
        <v>1.6706163387127833E-2</v>
      </c>
      <c r="J328" s="82">
        <f t="shared" si="228"/>
        <v>1.6100678165125133E-2</v>
      </c>
      <c r="K328" s="46">
        <f t="shared" si="228"/>
        <v>1.6710244362749916E-2</v>
      </c>
      <c r="L328" s="82">
        <f t="shared" si="228"/>
        <v>2.0333220742798339E-2</v>
      </c>
      <c r="M328" s="82">
        <f t="shared" si="228"/>
        <v>2.1847841737621485E-2</v>
      </c>
      <c r="N328" s="82">
        <f t="shared" si="228"/>
        <v>2.1198610504089589E-2</v>
      </c>
      <c r="O328" s="82">
        <f t="shared" si="228"/>
        <v>2.0374775716494879E-2</v>
      </c>
      <c r="P328" s="46">
        <f t="shared" si="228"/>
        <v>2.0934823175144824E-2</v>
      </c>
      <c r="Q328" s="82">
        <f t="shared" si="228"/>
        <v>1.7443579007188858E-2</v>
      </c>
      <c r="R328" s="82">
        <f t="shared" si="228"/>
        <v>1.7383172796885015E-2</v>
      </c>
      <c r="S328" s="82">
        <f t="shared" si="228"/>
        <v>1.8887971674370306E-2</v>
      </c>
      <c r="T328" s="82">
        <f t="shared" si="228"/>
        <v>1.9667279646669034E-2</v>
      </c>
      <c r="U328" s="46">
        <f t="shared" si="228"/>
        <v>1.8397344587242351E-2</v>
      </c>
      <c r="V328" s="82">
        <f t="shared" si="228"/>
        <v>2.1668907350122793E-2</v>
      </c>
      <c r="W328" s="82">
        <f t="shared" si="228"/>
        <v>2.0953788801465322E-2</v>
      </c>
      <c r="X328" s="82">
        <f t="shared" si="228"/>
        <v>1.899189062207993E-2</v>
      </c>
      <c r="Y328" s="185">
        <f t="shared" si="228"/>
        <v>1.7616661036083774E-2</v>
      </c>
      <c r="Z328" s="91">
        <f t="shared" si="228"/>
        <v>1.9667252843470866E-2</v>
      </c>
      <c r="AA328" s="82">
        <f t="shared" si="228"/>
        <v>1.7024730385510316E-2</v>
      </c>
      <c r="AB328" s="82">
        <f t="shared" si="228"/>
        <v>1.5806343216067411E-2</v>
      </c>
      <c r="AC328" s="82">
        <f t="shared" si="228"/>
        <v>1.4996688285778326E-2</v>
      </c>
      <c r="AD328" s="185">
        <f t="shared" si="228"/>
        <v>1.4769816982702608E-2</v>
      </c>
      <c r="AE328" s="91">
        <f t="shared" si="228"/>
        <v>1.5583124292882243E-2</v>
      </c>
      <c r="AF328" s="82">
        <f t="shared" si="228"/>
        <v>1.848085956330103E-2</v>
      </c>
      <c r="AG328" s="82">
        <f t="shared" si="228"/>
        <v>2.0789963324776638E-2</v>
      </c>
      <c r="AH328" s="82">
        <f t="shared" si="228"/>
        <v>2.0582221117604906E-2</v>
      </c>
      <c r="AI328" s="185">
        <f t="shared" ref="AI328:BG328" si="229">AI393/AI379</f>
        <v>2.1188767378555805E-2</v>
      </c>
      <c r="AJ328" s="91">
        <f t="shared" si="229"/>
        <v>2.0302018298832474E-2</v>
      </c>
      <c r="AK328" s="82">
        <f t="shared" si="229"/>
        <v>2.2384467833608198E-2</v>
      </c>
      <c r="AL328" s="82">
        <f t="shared" si="229"/>
        <v>2.1093957566711813E-2</v>
      </c>
      <c r="AM328" s="82">
        <f t="shared" si="229"/>
        <v>1.9116075505657398E-2</v>
      </c>
      <c r="AN328" s="185">
        <f t="shared" si="229"/>
        <v>1.83021870954455E-2</v>
      </c>
      <c r="AO328" s="91">
        <f t="shared" si="229"/>
        <v>2.0111480956936507E-2</v>
      </c>
      <c r="AP328" s="82">
        <f t="shared" si="229"/>
        <v>1.6821116110415764E-2</v>
      </c>
      <c r="AQ328" s="82">
        <f t="shared" si="229"/>
        <v>1.6949439242091212E-2</v>
      </c>
      <c r="AR328" s="82">
        <f t="shared" si="229"/>
        <v>1.6526258395245103E-2</v>
      </c>
      <c r="AS328" s="185">
        <f t="shared" si="229"/>
        <v>1.619308288039838E-2</v>
      </c>
      <c r="AT328" s="91">
        <f t="shared" si="229"/>
        <v>1.6609820365260822E-2</v>
      </c>
      <c r="AU328" s="82">
        <f t="shared" si="229"/>
        <v>1.4969395313488985E-2</v>
      </c>
      <c r="AV328" s="82">
        <f t="shared" si="229"/>
        <v>1.3836296035687271E-2</v>
      </c>
      <c r="AW328" s="644">
        <f t="shared" si="229"/>
        <v>1.2705073731199728E-2</v>
      </c>
      <c r="AX328" s="185">
        <f t="shared" si="229"/>
        <v>1.2999999999999999E-2</v>
      </c>
      <c r="AY328" s="91">
        <f t="shared" si="229"/>
        <v>1.3607170716496583E-2</v>
      </c>
      <c r="AZ328" s="185">
        <f t="shared" si="229"/>
        <v>1.2999999999999999E-2</v>
      </c>
      <c r="BA328" s="185">
        <f t="shared" si="229"/>
        <v>1.2999999999999999E-2</v>
      </c>
      <c r="BB328" s="185">
        <f t="shared" si="229"/>
        <v>1.2999999999999999E-2</v>
      </c>
      <c r="BC328" s="185">
        <f t="shared" si="229"/>
        <v>1.2999999999999999E-2</v>
      </c>
      <c r="BD328" s="91">
        <f t="shared" si="229"/>
        <v>1.2999999999999999E-2</v>
      </c>
      <c r="BE328" s="91">
        <f t="shared" si="229"/>
        <v>1.2999999999999999E-2</v>
      </c>
      <c r="BF328" s="91">
        <f t="shared" si="229"/>
        <v>1.2999999999999999E-2</v>
      </c>
      <c r="BG328" s="91">
        <f t="shared" si="229"/>
        <v>1.2999999999999999E-2</v>
      </c>
      <c r="BH328" s="70"/>
    </row>
    <row r="329" spans="1:60" customFormat="1" hidden="1" outlineLevel="1" x14ac:dyDescent="0.25">
      <c r="A329" s="59" t="s">
        <v>47</v>
      </c>
      <c r="B329" s="161"/>
      <c r="C329" s="50">
        <f t="shared" ref="C329:AH329" si="230">C394/C379</f>
        <v>0.14524666386073143</v>
      </c>
      <c r="D329" s="50">
        <f t="shared" si="230"/>
        <v>0.1617182821802208</v>
      </c>
      <c r="E329" s="50">
        <f t="shared" si="230"/>
        <v>0.15022169852682588</v>
      </c>
      <c r="F329" s="50">
        <f t="shared" si="230"/>
        <v>4.6937036230474696E-2</v>
      </c>
      <c r="G329" s="78">
        <f t="shared" si="230"/>
        <v>6.0177096588639636E-2</v>
      </c>
      <c r="H329" s="78">
        <f t="shared" si="230"/>
        <v>8.1447803009616918E-2</v>
      </c>
      <c r="I329" s="78">
        <f t="shared" si="230"/>
        <v>7.8706219445044759E-2</v>
      </c>
      <c r="J329" s="78">
        <f t="shared" si="230"/>
        <v>9.7049088263573224E-2</v>
      </c>
      <c r="K329" s="50">
        <f t="shared" si="230"/>
        <v>7.9967091562538145E-2</v>
      </c>
      <c r="L329" s="78">
        <f t="shared" si="230"/>
        <v>0.10692321561717322</v>
      </c>
      <c r="M329" s="78">
        <f t="shared" si="230"/>
        <v>0.12821628057746637</v>
      </c>
      <c r="N329" s="78">
        <f t="shared" si="230"/>
        <v>0.10971937631613306</v>
      </c>
      <c r="O329" s="78">
        <f t="shared" si="230"/>
        <v>7.3824296436788228E-2</v>
      </c>
      <c r="P329" s="50">
        <f t="shared" si="230"/>
        <v>0.10389659226661933</v>
      </c>
      <c r="Q329" s="78">
        <f t="shared" si="230"/>
        <v>8.9035292083484444E-2</v>
      </c>
      <c r="R329" s="78">
        <f t="shared" si="230"/>
        <v>7.2357532769013549E-2</v>
      </c>
      <c r="S329" s="78">
        <f t="shared" si="230"/>
        <v>7.0481575972686769E-2</v>
      </c>
      <c r="T329" s="78">
        <f t="shared" si="230"/>
        <v>6.1010248813574246E-2</v>
      </c>
      <c r="U329" s="50">
        <f t="shared" si="230"/>
        <v>7.2694623550282708E-2</v>
      </c>
      <c r="V329" s="78">
        <f t="shared" si="230"/>
        <v>5.4487939129688648E-2</v>
      </c>
      <c r="W329" s="78">
        <f t="shared" si="230"/>
        <v>6.1092891710257162E-2</v>
      </c>
      <c r="X329" s="78">
        <f t="shared" si="230"/>
        <v>7.158407956028065E-2</v>
      </c>
      <c r="Y329" s="78">
        <f t="shared" si="230"/>
        <v>8.5475477499665747E-2</v>
      </c>
      <c r="Z329" s="50">
        <f t="shared" si="230"/>
        <v>6.9190227829850681E-2</v>
      </c>
      <c r="AA329" s="78">
        <f t="shared" si="230"/>
        <v>0.12018311218655606</v>
      </c>
      <c r="AB329" s="78">
        <f t="shared" si="230"/>
        <v>6.8349833277328312E-2</v>
      </c>
      <c r="AC329" s="78">
        <f t="shared" si="230"/>
        <v>9.1336977726586027E-2</v>
      </c>
      <c r="AD329" s="78">
        <f t="shared" si="230"/>
        <v>9.5231080832259229E-2</v>
      </c>
      <c r="AE329" s="50">
        <f t="shared" si="230"/>
        <v>9.3459832632512188E-2</v>
      </c>
      <c r="AF329" s="78">
        <f t="shared" si="230"/>
        <v>0.14429472532841053</v>
      </c>
      <c r="AG329" s="78">
        <f t="shared" si="230"/>
        <v>0.14413669902515056</v>
      </c>
      <c r="AH329" s="78">
        <f t="shared" si="230"/>
        <v>0.14605910825044111</v>
      </c>
      <c r="AI329" s="78">
        <f t="shared" ref="AI329:BG329" si="231">AI394/AI379</f>
        <v>7.826903386109002E-2</v>
      </c>
      <c r="AJ329" s="50">
        <f t="shared" si="231"/>
        <v>0.1271999889074194</v>
      </c>
      <c r="AK329" s="78">
        <f t="shared" si="231"/>
        <v>0.12914090535882394</v>
      </c>
      <c r="AL329" s="78">
        <f t="shared" si="231"/>
        <v>0.16976301188109319</v>
      </c>
      <c r="AM329" s="78">
        <f t="shared" si="231"/>
        <v>0.21110105902776119</v>
      </c>
      <c r="AN329" s="78">
        <f t="shared" si="231"/>
        <v>0.10725250638599394</v>
      </c>
      <c r="AO329" s="50">
        <f t="shared" si="231"/>
        <v>0.15445227028354752</v>
      </c>
      <c r="AP329" s="78">
        <f t="shared" si="231"/>
        <v>0.18790743124068193</v>
      </c>
      <c r="AQ329" s="78">
        <f t="shared" si="231"/>
        <v>0.24214862483625524</v>
      </c>
      <c r="AR329" s="78">
        <f t="shared" si="231"/>
        <v>0.22527824362996224</v>
      </c>
      <c r="AS329" s="78">
        <f t="shared" si="231"/>
        <v>0.16461562912280717</v>
      </c>
      <c r="AT329" s="50">
        <f t="shared" si="231"/>
        <v>0.20467945023006834</v>
      </c>
      <c r="AU329" s="78">
        <f t="shared" si="231"/>
        <v>0.29355636145554515</v>
      </c>
      <c r="AV329" s="78">
        <f t="shared" si="231"/>
        <v>0.27073105053449598</v>
      </c>
      <c r="AW329" s="569">
        <f t="shared" si="231"/>
        <v>0.25664361184461693</v>
      </c>
      <c r="AX329" s="92">
        <f t="shared" si="231"/>
        <v>9.1307633363933605E-2</v>
      </c>
      <c r="AY329" s="93">
        <f t="shared" si="231"/>
        <v>0.22604641441077347</v>
      </c>
      <c r="AZ329" s="92">
        <f t="shared" si="231"/>
        <v>0.29498538315275913</v>
      </c>
      <c r="BA329" s="92">
        <f t="shared" si="231"/>
        <v>0.28183418978249031</v>
      </c>
      <c r="BB329" s="92">
        <f t="shared" si="231"/>
        <v>0.27538569362503634</v>
      </c>
      <c r="BC329" s="92">
        <f t="shared" si="231"/>
        <v>0.19063286187817702</v>
      </c>
      <c r="BD329" s="93">
        <f t="shared" si="231"/>
        <v>0.25955206103825823</v>
      </c>
      <c r="BE329" s="93">
        <f t="shared" si="231"/>
        <v>0.28953607793958525</v>
      </c>
      <c r="BF329" s="93">
        <f t="shared" si="231"/>
        <v>0.31366579584457394</v>
      </c>
      <c r="BG329" s="93">
        <f t="shared" si="231"/>
        <v>0.34707198411910423</v>
      </c>
      <c r="BH329" s="70"/>
    </row>
    <row r="330" spans="1:60" customFormat="1" hidden="1" outlineLevel="1" x14ac:dyDescent="0.25">
      <c r="A330" s="176" t="str">
        <f>CONCATENATE("Adjusted ",A329,IFERROR("  - "&amp;RIGHT(A395,FIND("(",A395)),""))</f>
        <v>Adjusted EBITDA Margin, %  -  (No Adjustments)</v>
      </c>
      <c r="B330" s="160"/>
      <c r="C330" s="15">
        <f t="shared" ref="C330:AH330" si="232">C395/C379</f>
        <v>0.14524666386073143</v>
      </c>
      <c r="D330" s="15">
        <f t="shared" si="232"/>
        <v>0.1617182821802208</v>
      </c>
      <c r="E330" s="15">
        <f t="shared" si="232"/>
        <v>0.15022169852682588</v>
      </c>
      <c r="F330" s="15">
        <f t="shared" si="232"/>
        <v>4.6937036230474696E-2</v>
      </c>
      <c r="G330" s="60">
        <f t="shared" si="232"/>
        <v>6.0177096588639636E-2</v>
      </c>
      <c r="H330" s="60">
        <f t="shared" si="232"/>
        <v>8.1447803009616918E-2</v>
      </c>
      <c r="I330" s="60">
        <f t="shared" si="232"/>
        <v>7.8706219445044759E-2</v>
      </c>
      <c r="J330" s="60">
        <f t="shared" si="232"/>
        <v>9.7049088263573224E-2</v>
      </c>
      <c r="K330" s="15">
        <f t="shared" si="232"/>
        <v>7.9967091562538145E-2</v>
      </c>
      <c r="L330" s="60">
        <f t="shared" si="232"/>
        <v>0.10692321561717322</v>
      </c>
      <c r="M330" s="60">
        <f t="shared" si="232"/>
        <v>0.12821628057746637</v>
      </c>
      <c r="N330" s="60">
        <f t="shared" si="232"/>
        <v>0.10971937631613306</v>
      </c>
      <c r="O330" s="60">
        <f t="shared" si="232"/>
        <v>7.3824296436788228E-2</v>
      </c>
      <c r="P330" s="15">
        <f t="shared" si="232"/>
        <v>0.10389659226661933</v>
      </c>
      <c r="Q330" s="60">
        <f t="shared" si="232"/>
        <v>8.9035292083484444E-2</v>
      </c>
      <c r="R330" s="60">
        <f t="shared" si="232"/>
        <v>7.2357532769013563E-2</v>
      </c>
      <c r="S330" s="60">
        <f t="shared" si="232"/>
        <v>7.0481575972686769E-2</v>
      </c>
      <c r="T330" s="60">
        <f t="shared" si="232"/>
        <v>6.1010248813574232E-2</v>
      </c>
      <c r="U330" s="15">
        <f t="shared" si="232"/>
        <v>7.2694623550282708E-2</v>
      </c>
      <c r="V330" s="60">
        <f t="shared" si="232"/>
        <v>5.4487939129688648E-2</v>
      </c>
      <c r="W330" s="60">
        <f t="shared" si="232"/>
        <v>6.1092891710257176E-2</v>
      </c>
      <c r="X330" s="60">
        <f t="shared" si="232"/>
        <v>7.158407956028065E-2</v>
      </c>
      <c r="Y330" s="95">
        <f t="shared" si="232"/>
        <v>8.5475477499665733E-2</v>
      </c>
      <c r="Z330" s="96">
        <f t="shared" si="232"/>
        <v>6.9190227829850681E-2</v>
      </c>
      <c r="AA330" s="60">
        <f t="shared" si="232"/>
        <v>0.12018311218655606</v>
      </c>
      <c r="AB330" s="60">
        <f t="shared" si="232"/>
        <v>6.8349833277328298E-2</v>
      </c>
      <c r="AC330" s="60">
        <f t="shared" si="232"/>
        <v>9.1336977726586027E-2</v>
      </c>
      <c r="AD330" s="95">
        <f t="shared" si="232"/>
        <v>9.5231080832259216E-2</v>
      </c>
      <c r="AE330" s="96">
        <f t="shared" si="232"/>
        <v>9.3459832632512216E-2</v>
      </c>
      <c r="AF330" s="60">
        <f t="shared" si="232"/>
        <v>0.14429472532841053</v>
      </c>
      <c r="AG330" s="60">
        <f t="shared" si="232"/>
        <v>0.14413669902515053</v>
      </c>
      <c r="AH330" s="60">
        <f t="shared" si="232"/>
        <v>0.14605910825044113</v>
      </c>
      <c r="AI330" s="95">
        <f t="shared" ref="AI330:BG330" si="233">AI395/AI379</f>
        <v>7.826903386109002E-2</v>
      </c>
      <c r="AJ330" s="96">
        <f t="shared" si="233"/>
        <v>0.1271999889074194</v>
      </c>
      <c r="AK330" s="60">
        <f t="shared" si="233"/>
        <v>0.12914090535882394</v>
      </c>
      <c r="AL330" s="60">
        <f t="shared" si="233"/>
        <v>0.16976301188109316</v>
      </c>
      <c r="AM330" s="60">
        <f t="shared" si="233"/>
        <v>0.21110105902776119</v>
      </c>
      <c r="AN330" s="95">
        <f t="shared" si="233"/>
        <v>0.10725250638599391</v>
      </c>
      <c r="AO330" s="96">
        <f t="shared" si="233"/>
        <v>0.15445227028354752</v>
      </c>
      <c r="AP330" s="60">
        <f t="shared" si="233"/>
        <v>0.18790743124068193</v>
      </c>
      <c r="AQ330" s="60">
        <f t="shared" si="233"/>
        <v>0.24214862483625524</v>
      </c>
      <c r="AR330" s="60">
        <f t="shared" si="233"/>
        <v>0.22527824362996224</v>
      </c>
      <c r="AS330" s="95">
        <f t="shared" si="233"/>
        <v>0.16461562912280717</v>
      </c>
      <c r="AT330" s="96">
        <f t="shared" si="233"/>
        <v>0.20467945023006834</v>
      </c>
      <c r="AU330" s="60">
        <f t="shared" si="233"/>
        <v>0.29355636145554515</v>
      </c>
      <c r="AV330" s="60">
        <f t="shared" si="233"/>
        <v>0.27073105053449598</v>
      </c>
      <c r="AW330" s="570">
        <f t="shared" si="233"/>
        <v>0.25664361184461693</v>
      </c>
      <c r="AX330" s="95">
        <f t="shared" si="233"/>
        <v>9.1307633363933605E-2</v>
      </c>
      <c r="AY330" s="96">
        <f t="shared" si="233"/>
        <v>0.22604641441077342</v>
      </c>
      <c r="AZ330" s="95">
        <f t="shared" si="233"/>
        <v>0.29498538315275913</v>
      </c>
      <c r="BA330" s="95">
        <f t="shared" si="233"/>
        <v>0.28183418978249031</v>
      </c>
      <c r="BB330" s="95">
        <f t="shared" si="233"/>
        <v>0.27538569362503634</v>
      </c>
      <c r="BC330" s="95">
        <f t="shared" si="233"/>
        <v>0.19063286187817702</v>
      </c>
      <c r="BD330" s="96">
        <f t="shared" si="233"/>
        <v>0.25955206103825823</v>
      </c>
      <c r="BE330" s="96">
        <f t="shared" si="233"/>
        <v>0.28953607793958525</v>
      </c>
      <c r="BF330" s="96">
        <f t="shared" si="233"/>
        <v>0.31366579584457394</v>
      </c>
      <c r="BG330" s="96">
        <f t="shared" si="233"/>
        <v>0.34707198411910423</v>
      </c>
      <c r="BH330" s="70"/>
    </row>
    <row r="331" spans="1:60" customFormat="1" hidden="1" outlineLevel="1" x14ac:dyDescent="0.25">
      <c r="A331" s="151" t="s">
        <v>48</v>
      </c>
      <c r="B331" s="506"/>
      <c r="C331" s="152"/>
      <c r="D331" s="152"/>
      <c r="E331" s="152"/>
      <c r="F331" s="152"/>
      <c r="G331" s="186"/>
      <c r="H331" s="186"/>
      <c r="I331" s="186"/>
      <c r="J331" s="186"/>
      <c r="K331" s="152"/>
      <c r="L331" s="186"/>
      <c r="M331" s="186"/>
      <c r="N331" s="186"/>
      <c r="O331" s="186"/>
      <c r="P331" s="152"/>
      <c r="Q331" s="186"/>
      <c r="R331" s="186"/>
      <c r="S331" s="186"/>
      <c r="T331" s="186"/>
      <c r="U331" s="152"/>
      <c r="V331" s="186"/>
      <c r="W331" s="186"/>
      <c r="X331" s="186"/>
      <c r="Y331" s="186"/>
      <c r="Z331" s="152"/>
      <c r="AA331" s="186"/>
      <c r="AB331" s="186"/>
      <c r="AC331" s="186"/>
      <c r="AD331" s="186"/>
      <c r="AE331" s="152"/>
      <c r="AF331" s="186"/>
      <c r="AG331" s="186"/>
      <c r="AH331" s="186"/>
      <c r="AI331" s="186"/>
      <c r="AJ331" s="152"/>
      <c r="AK331" s="186"/>
      <c r="AL331" s="186"/>
      <c r="AM331" s="186"/>
      <c r="AN331" s="186"/>
      <c r="AO331" s="152"/>
      <c r="AP331" s="186"/>
      <c r="AQ331" s="186"/>
      <c r="AR331" s="186"/>
      <c r="AS331" s="186"/>
      <c r="AT331" s="152"/>
      <c r="AU331" s="186"/>
      <c r="AV331" s="186"/>
      <c r="AW331" s="584"/>
      <c r="AX331" s="186">
        <f t="shared" ref="AX331:BG331" ca="1" si="234">IFERROR(AX396/AX380,0)</f>
        <v>0</v>
      </c>
      <c r="AY331" s="152">
        <f t="shared" ca="1" si="234"/>
        <v>0</v>
      </c>
      <c r="AZ331" s="186">
        <f t="shared" ca="1" si="234"/>
        <v>0</v>
      </c>
      <c r="BA331" s="186">
        <f t="shared" ca="1" si="234"/>
        <v>0</v>
      </c>
      <c r="BB331" s="186">
        <f t="shared" ca="1" si="234"/>
        <v>0</v>
      </c>
      <c r="BC331" s="186">
        <f t="shared" ca="1" si="234"/>
        <v>0</v>
      </c>
      <c r="BD331" s="152">
        <f t="shared" ca="1" si="234"/>
        <v>0</v>
      </c>
      <c r="BE331" s="152">
        <f t="shared" ca="1" si="234"/>
        <v>0</v>
      </c>
      <c r="BF331" s="152">
        <f t="shared" ca="1" si="234"/>
        <v>0</v>
      </c>
      <c r="BG331" s="152">
        <f t="shared" ca="1" si="234"/>
        <v>0</v>
      </c>
      <c r="BH331" s="151"/>
    </row>
    <row r="332" spans="1:60" customFormat="1" collapsed="1" x14ac:dyDescent="0.25">
      <c r="A332" s="186"/>
      <c r="B332" s="506"/>
      <c r="C332" s="152"/>
      <c r="D332" s="152"/>
      <c r="E332" s="152"/>
      <c r="F332" s="152"/>
      <c r="G332" s="186"/>
      <c r="H332" s="186"/>
      <c r="I332" s="186"/>
      <c r="J332" s="186"/>
      <c r="K332" s="152"/>
      <c r="L332" s="186"/>
      <c r="M332" s="186"/>
      <c r="N332" s="186"/>
      <c r="O332" s="186"/>
      <c r="P332" s="152"/>
      <c r="Q332" s="186"/>
      <c r="R332" s="186"/>
      <c r="S332" s="186"/>
      <c r="T332" s="186"/>
      <c r="U332" s="152"/>
      <c r="V332" s="186"/>
      <c r="W332" s="186"/>
      <c r="X332" s="186"/>
      <c r="Y332" s="186"/>
      <c r="Z332" s="152"/>
      <c r="AA332" s="186"/>
      <c r="AB332" s="186"/>
      <c r="AC332" s="186"/>
      <c r="AD332" s="186"/>
      <c r="AE332" s="152"/>
      <c r="AF332" s="186"/>
      <c r="AG332" s="186"/>
      <c r="AH332" s="186"/>
      <c r="AI332" s="186"/>
      <c r="AJ332" s="152"/>
      <c r="AK332" s="186"/>
      <c r="AL332" s="186"/>
      <c r="AM332" s="186"/>
      <c r="AN332" s="186"/>
      <c r="AO332" s="152"/>
      <c r="AP332" s="186"/>
      <c r="AQ332" s="186"/>
      <c r="AR332" s="186"/>
      <c r="AS332" s="186"/>
      <c r="AT332" s="152"/>
      <c r="AU332" s="186"/>
      <c r="AV332" s="186"/>
      <c r="AW332" s="584"/>
      <c r="AX332" s="186"/>
      <c r="AY332" s="152"/>
      <c r="AZ332" s="186"/>
      <c r="BA332" s="186"/>
      <c r="BB332" s="186"/>
      <c r="BC332" s="186"/>
      <c r="BD332" s="152"/>
      <c r="BE332" s="152"/>
      <c r="BF332" s="152"/>
      <c r="BG332" s="152"/>
      <c r="BH332" s="151"/>
    </row>
    <row r="333" spans="1:60" customFormat="1" x14ac:dyDescent="0.25">
      <c r="A333" s="819" t="s">
        <v>49</v>
      </c>
      <c r="B333" s="819"/>
      <c r="C333" s="861"/>
      <c r="D333" s="861"/>
      <c r="E333" s="861"/>
      <c r="F333" s="861"/>
      <c r="G333" s="861"/>
      <c r="H333" s="861"/>
      <c r="I333" s="861"/>
      <c r="J333" s="861"/>
      <c r="K333" s="861"/>
      <c r="L333" s="861"/>
      <c r="M333" s="861"/>
      <c r="N333" s="861"/>
      <c r="O333" s="861"/>
      <c r="P333" s="861"/>
      <c r="Q333" s="861"/>
      <c r="R333" s="861"/>
      <c r="S333" s="861"/>
      <c r="T333" s="861"/>
      <c r="U333" s="861"/>
      <c r="V333" s="861"/>
      <c r="W333" s="861"/>
      <c r="X333" s="861"/>
      <c r="Y333" s="861"/>
      <c r="Z333" s="861"/>
      <c r="AA333" s="861"/>
      <c r="AB333" s="861"/>
      <c r="AC333" s="861"/>
      <c r="AD333" s="861"/>
      <c r="AE333" s="861"/>
      <c r="AF333" s="861"/>
      <c r="AG333" s="861"/>
      <c r="AH333" s="861"/>
      <c r="AI333" s="861"/>
      <c r="AJ333" s="861"/>
      <c r="AK333" s="861"/>
      <c r="AL333" s="861"/>
      <c r="AM333" s="861"/>
      <c r="AN333" s="861"/>
      <c r="AO333" s="861"/>
      <c r="AP333" s="861"/>
      <c r="AQ333" s="861"/>
      <c r="AR333" s="861"/>
      <c r="AS333" s="861"/>
      <c r="AT333" s="861"/>
      <c r="AU333" s="861"/>
      <c r="AV333" s="861"/>
      <c r="AW333" s="862"/>
      <c r="AX333" s="861"/>
      <c r="AY333" s="861"/>
      <c r="AZ333" s="861"/>
      <c r="BA333" s="861"/>
      <c r="BB333" s="861"/>
      <c r="BC333" s="861"/>
      <c r="BD333" s="861"/>
      <c r="BE333" s="861"/>
      <c r="BF333" s="861"/>
      <c r="BG333" s="861"/>
      <c r="BH333" s="824"/>
    </row>
    <row r="334" spans="1:60" customFormat="1" hidden="1" outlineLevel="1" x14ac:dyDescent="0.25">
      <c r="A334" s="63" t="s">
        <v>50</v>
      </c>
      <c r="B334" s="423"/>
      <c r="C334" s="875">
        <v>1670.269</v>
      </c>
      <c r="D334" s="875">
        <v>2162.625</v>
      </c>
      <c r="E334" s="875">
        <v>3204.5770000000002</v>
      </c>
      <c r="F334" s="875">
        <v>3609.2820000000002</v>
      </c>
      <c r="G334" s="876">
        <v>1023.961</v>
      </c>
      <c r="H334" s="876">
        <v>1069.3720000000001</v>
      </c>
      <c r="I334" s="876">
        <v>1105.999</v>
      </c>
      <c r="J334" s="876">
        <f>K334-G334-H334-I334</f>
        <v>1175.2299999999993</v>
      </c>
      <c r="K334" s="875">
        <v>4374.5619999999999</v>
      </c>
      <c r="L334" s="876">
        <v>1270.0889999999999</v>
      </c>
      <c r="M334" s="876">
        <v>1340.4069999999999</v>
      </c>
      <c r="N334" s="876">
        <v>1409.432</v>
      </c>
      <c r="O334" s="876">
        <f>P334-L334-M334-N334</f>
        <v>1484.7279999999998</v>
      </c>
      <c r="P334" s="875">
        <v>5504.6559999999999</v>
      </c>
      <c r="Q334" s="876">
        <v>1573.1289999999999</v>
      </c>
      <c r="R334" s="876">
        <v>1644.694</v>
      </c>
      <c r="S334" s="876">
        <v>1738.355</v>
      </c>
      <c r="T334" s="876">
        <f>U334-Q334-R334-S334</f>
        <v>1823.3330000000005</v>
      </c>
      <c r="U334" s="875">
        <v>6779.5110000000004</v>
      </c>
      <c r="V334" s="876">
        <v>1957.7360000000001</v>
      </c>
      <c r="W334" s="876">
        <v>2105.2040000000002</v>
      </c>
      <c r="X334" s="876">
        <v>2290.1880000000001</v>
      </c>
      <c r="Y334" s="876">
        <f>Z334-V334-W334-X334</f>
        <v>2477.5409999999993</v>
      </c>
      <c r="Z334" s="875">
        <v>8830.6689999999999</v>
      </c>
      <c r="AA334" s="876">
        <v>2636.6350000000002</v>
      </c>
      <c r="AB334" s="876">
        <v>2785.4639999999999</v>
      </c>
      <c r="AC334" s="876">
        <v>2984.8589999999999</v>
      </c>
      <c r="AD334" s="876">
        <f>AE334-AA334-AB334-AC334</f>
        <v>3285.7549999999997</v>
      </c>
      <c r="AE334" s="875">
        <v>11692.713</v>
      </c>
      <c r="AF334" s="876">
        <v>3700.8560000000002</v>
      </c>
      <c r="AG334" s="876">
        <v>3907.27</v>
      </c>
      <c r="AH334" s="876">
        <v>3999.3739999999998</v>
      </c>
      <c r="AI334" s="876">
        <f>AJ334-AF334-AG334-AH334</f>
        <v>4186.8410000000003</v>
      </c>
      <c r="AJ334" s="875">
        <v>15794.341</v>
      </c>
      <c r="AK334" s="876">
        <v>4520.9920000000002</v>
      </c>
      <c r="AL334" s="876">
        <v>4923.116</v>
      </c>
      <c r="AM334" s="876">
        <v>5244.9049999999997</v>
      </c>
      <c r="AN334" s="876">
        <f>AO334-AK334-AL334-AM334</f>
        <v>5467.4340000000002</v>
      </c>
      <c r="AO334" s="875">
        <v>20156.447</v>
      </c>
      <c r="AP334" s="876">
        <v>5767.6909999999998</v>
      </c>
      <c r="AQ334" s="876">
        <v>6148.2860000000001</v>
      </c>
      <c r="AR334" s="876">
        <v>6435.6369999999997</v>
      </c>
      <c r="AS334" s="876">
        <f>AT334-AP334-AQ334-AR334</f>
        <v>6644.4420000000018</v>
      </c>
      <c r="AT334" s="875">
        <v>24996.056</v>
      </c>
      <c r="AU334" s="876">
        <v>7163.2820000000002</v>
      </c>
      <c r="AV334" s="876">
        <v>7341.777</v>
      </c>
      <c r="AW334" s="877">
        <v>7483.4669999999996</v>
      </c>
      <c r="AX334" s="879"/>
      <c r="AY334" s="874"/>
      <c r="AZ334" s="879"/>
      <c r="BA334" s="879"/>
      <c r="BB334" s="879"/>
      <c r="BC334" s="879"/>
      <c r="BD334" s="874"/>
      <c r="BE334" s="874"/>
      <c r="BF334" s="874"/>
      <c r="BG334" s="874"/>
      <c r="BH334" s="824"/>
    </row>
    <row r="335" spans="1:60" customFormat="1" hidden="1" outlineLevel="2" x14ac:dyDescent="0.25">
      <c r="A335" s="367" t="s">
        <v>51</v>
      </c>
      <c r="B335" s="289"/>
      <c r="C335" s="865">
        <v>909.46100000000001</v>
      </c>
      <c r="D335" s="865">
        <v>1154.1089999999999</v>
      </c>
      <c r="E335" s="865">
        <v>1789.596</v>
      </c>
      <c r="F335" s="865">
        <v>0</v>
      </c>
      <c r="G335" s="866">
        <v>0</v>
      </c>
      <c r="H335" s="866">
        <v>0</v>
      </c>
      <c r="I335" s="866">
        <v>0</v>
      </c>
      <c r="J335" s="866">
        <f>K335-G335-H335-I335</f>
        <v>0</v>
      </c>
      <c r="K335" s="865">
        <v>0</v>
      </c>
      <c r="L335" s="866">
        <v>0</v>
      </c>
      <c r="M335" s="866">
        <v>0</v>
      </c>
      <c r="N335" s="866">
        <v>0</v>
      </c>
      <c r="O335" s="866">
        <f>P335-L335-M335-N335</f>
        <v>0</v>
      </c>
      <c r="P335" s="865">
        <v>0</v>
      </c>
      <c r="Q335" s="866">
        <v>0</v>
      </c>
      <c r="R335" s="866">
        <v>0</v>
      </c>
      <c r="S335" s="866">
        <v>0</v>
      </c>
      <c r="T335" s="866">
        <f>U335-Q335-R335-S335</f>
        <v>0</v>
      </c>
      <c r="U335" s="865">
        <v>0</v>
      </c>
      <c r="V335" s="866">
        <v>0</v>
      </c>
      <c r="W335" s="866">
        <v>0</v>
      </c>
      <c r="X335" s="866">
        <v>0</v>
      </c>
      <c r="Y335" s="866">
        <f>Z335-V335-W335-X335</f>
        <v>0</v>
      </c>
      <c r="Z335" s="865">
        <v>0</v>
      </c>
      <c r="AA335" s="866">
        <v>0</v>
      </c>
      <c r="AB335" s="866">
        <v>0</v>
      </c>
      <c r="AC335" s="866">
        <v>0</v>
      </c>
      <c r="AD335" s="866">
        <f>AE335-AA335-AB335-AC335</f>
        <v>0</v>
      </c>
      <c r="AE335" s="865">
        <v>0</v>
      </c>
      <c r="AF335" s="867"/>
      <c r="AG335" s="867"/>
      <c r="AH335" s="867"/>
      <c r="AI335" s="867"/>
      <c r="AJ335" s="864"/>
      <c r="AK335" s="867"/>
      <c r="AL335" s="867"/>
      <c r="AM335" s="867"/>
      <c r="AN335" s="867"/>
      <c r="AO335" s="864"/>
      <c r="AP335" s="867"/>
      <c r="AQ335" s="867"/>
      <c r="AR335" s="867"/>
      <c r="AS335" s="867"/>
      <c r="AT335" s="864"/>
      <c r="AU335" s="867"/>
      <c r="AV335" s="867"/>
      <c r="AW335" s="868"/>
      <c r="AX335" s="867"/>
      <c r="AY335" s="864"/>
      <c r="AZ335" s="867"/>
      <c r="BA335" s="867"/>
      <c r="BB335" s="867"/>
      <c r="BC335" s="867"/>
      <c r="BD335" s="864"/>
      <c r="BE335" s="864"/>
      <c r="BF335" s="864"/>
      <c r="BG335" s="864"/>
      <c r="BH335" s="821"/>
    </row>
    <row r="336" spans="1:60" customFormat="1" hidden="1" outlineLevel="2" x14ac:dyDescent="0.25">
      <c r="A336" s="367" t="s">
        <v>52</v>
      </c>
      <c r="B336" s="289"/>
      <c r="C336" s="865">
        <v>169.81</v>
      </c>
      <c r="D336" s="865">
        <v>203.24600000000001</v>
      </c>
      <c r="E336" s="865">
        <v>250.30500000000001</v>
      </c>
      <c r="F336" s="865">
        <v>0</v>
      </c>
      <c r="G336" s="866">
        <v>0</v>
      </c>
      <c r="H336" s="866">
        <v>0</v>
      </c>
      <c r="I336" s="866">
        <v>0</v>
      </c>
      <c r="J336" s="866">
        <f>K336-G336-H336-I336</f>
        <v>0</v>
      </c>
      <c r="K336" s="865">
        <v>0</v>
      </c>
      <c r="L336" s="866">
        <v>0</v>
      </c>
      <c r="M336" s="866">
        <v>0</v>
      </c>
      <c r="N336" s="866">
        <v>0</v>
      </c>
      <c r="O336" s="866">
        <f>P336-L336-M336-N336</f>
        <v>0</v>
      </c>
      <c r="P336" s="865">
        <v>0</v>
      </c>
      <c r="Q336" s="866">
        <v>0</v>
      </c>
      <c r="R336" s="866">
        <v>0</v>
      </c>
      <c r="S336" s="866">
        <v>0</v>
      </c>
      <c r="T336" s="866">
        <f>U336-Q336-R336-S336</f>
        <v>0</v>
      </c>
      <c r="U336" s="865">
        <v>0</v>
      </c>
      <c r="V336" s="866">
        <v>0</v>
      </c>
      <c r="W336" s="866">
        <v>0</v>
      </c>
      <c r="X336" s="866">
        <v>0</v>
      </c>
      <c r="Y336" s="866">
        <f>Z336-V336-W336-X336</f>
        <v>0</v>
      </c>
      <c r="Z336" s="865">
        <v>0</v>
      </c>
      <c r="AA336" s="866">
        <v>0</v>
      </c>
      <c r="AB336" s="866">
        <v>0</v>
      </c>
      <c r="AC336" s="866">
        <v>0</v>
      </c>
      <c r="AD336" s="866">
        <f>AE336-AA336-AB336-AC336</f>
        <v>0</v>
      </c>
      <c r="AE336" s="865">
        <v>0</v>
      </c>
      <c r="AF336" s="867"/>
      <c r="AG336" s="867"/>
      <c r="AH336" s="867"/>
      <c r="AI336" s="867"/>
      <c r="AJ336" s="864"/>
      <c r="AK336" s="867"/>
      <c r="AL336" s="867"/>
      <c r="AM336" s="867"/>
      <c r="AN336" s="867"/>
      <c r="AO336" s="864"/>
      <c r="AP336" s="867"/>
      <c r="AQ336" s="867"/>
      <c r="AR336" s="867"/>
      <c r="AS336" s="867"/>
      <c r="AT336" s="864"/>
      <c r="AU336" s="867"/>
      <c r="AV336" s="867"/>
      <c r="AW336" s="868"/>
      <c r="AX336" s="867"/>
      <c r="AY336" s="864"/>
      <c r="AZ336" s="867"/>
      <c r="BA336" s="867"/>
      <c r="BB336" s="867"/>
      <c r="BC336" s="867"/>
      <c r="BD336" s="864"/>
      <c r="BE336" s="864"/>
      <c r="BF336" s="864"/>
      <c r="BG336" s="864"/>
      <c r="BH336" s="821"/>
    </row>
    <row r="337" spans="1:60" customFormat="1" hidden="1" outlineLevel="1" collapsed="1" x14ac:dyDescent="0.25">
      <c r="A337" s="113" t="s">
        <v>53</v>
      </c>
      <c r="B337" s="441"/>
      <c r="C337" s="886">
        <f>SUM(C335:C336)</f>
        <v>1079.271</v>
      </c>
      <c r="D337" s="886">
        <f>SUM(D335:D336)</f>
        <v>1357.355</v>
      </c>
      <c r="E337" s="886">
        <f>SUM(E335:E336)</f>
        <v>2039.9010000000001</v>
      </c>
      <c r="F337" s="886">
        <v>2652.058</v>
      </c>
      <c r="G337" s="885">
        <v>736.952</v>
      </c>
      <c r="H337" s="885">
        <v>760.67399999999998</v>
      </c>
      <c r="I337" s="885">
        <v>798.9</v>
      </c>
      <c r="J337" s="885">
        <f>K337-G337-H337-I337</f>
        <v>820.67700000000025</v>
      </c>
      <c r="K337" s="886">
        <v>3117.203</v>
      </c>
      <c r="L337" s="885">
        <v>869.18600000000004</v>
      </c>
      <c r="M337" s="885">
        <v>914.84799999999996</v>
      </c>
      <c r="N337" s="885">
        <v>954.39400000000001</v>
      </c>
      <c r="O337" s="885">
        <f>P337-L337-M337-N337</f>
        <v>1014.3320000000001</v>
      </c>
      <c r="P337" s="886">
        <v>3752.76</v>
      </c>
      <c r="Q337" s="885">
        <v>1046.4010000000001</v>
      </c>
      <c r="R337" s="885">
        <v>1121.752</v>
      </c>
      <c r="S337" s="885">
        <v>1173.9580000000001</v>
      </c>
      <c r="T337" s="885">
        <f>U337-Q337-R337-S337</f>
        <v>1249.3649999999998</v>
      </c>
      <c r="U337" s="886">
        <v>4591.4759999999997</v>
      </c>
      <c r="V337" s="885">
        <v>1418.5809999999999</v>
      </c>
      <c r="W337" s="885">
        <v>1525.3969999999999</v>
      </c>
      <c r="X337" s="885">
        <v>1593.768</v>
      </c>
      <c r="Y337" s="885">
        <v>1719.7159999999999</v>
      </c>
      <c r="Z337" s="886">
        <v>6257.4620000000004</v>
      </c>
      <c r="AA337" s="885">
        <v>1740.731</v>
      </c>
      <c r="AB337" s="885">
        <v>1991.6959999999999</v>
      </c>
      <c r="AC337" s="885">
        <v>2086.239</v>
      </c>
      <c r="AD337" s="885">
        <v>2214.3339999999998</v>
      </c>
      <c r="AE337" s="886">
        <v>8033</v>
      </c>
      <c r="AF337" s="885">
        <v>2300.5790000000002</v>
      </c>
      <c r="AG337" s="885">
        <v>2402.431</v>
      </c>
      <c r="AH337" s="885">
        <v>2531.1280000000002</v>
      </c>
      <c r="AI337" s="885">
        <f>AJ337-AF337-AG337-AH337</f>
        <v>2733.4</v>
      </c>
      <c r="AJ337" s="886">
        <v>9967.5380000000005</v>
      </c>
      <c r="AK337" s="885">
        <v>2870.614</v>
      </c>
      <c r="AL337" s="885">
        <v>3005.6570000000002</v>
      </c>
      <c r="AM337" s="885">
        <v>3097.9189999999999</v>
      </c>
      <c r="AN337" s="885">
        <f>AO337-AK337-AL337-AM337</f>
        <v>3466.0230000000001</v>
      </c>
      <c r="AO337" s="886">
        <v>12440.213</v>
      </c>
      <c r="AP337" s="885">
        <v>3599.701</v>
      </c>
      <c r="AQ337" s="885">
        <v>3643.7069999999999</v>
      </c>
      <c r="AR337" s="885">
        <v>3867.7510000000002</v>
      </c>
      <c r="AS337" s="885">
        <f>AT337-AP337-AQ337-AR337</f>
        <v>4165.159999999998</v>
      </c>
      <c r="AT337" s="886">
        <v>15276.319</v>
      </c>
      <c r="AU337" s="885">
        <v>3868.511</v>
      </c>
      <c r="AV337" s="885">
        <v>4018.0079999999998</v>
      </c>
      <c r="AW337" s="891">
        <v>4206.5889999999999</v>
      </c>
      <c r="AX337" s="882"/>
      <c r="AY337" s="881"/>
      <c r="AZ337" s="882"/>
      <c r="BA337" s="882"/>
      <c r="BB337" s="882"/>
      <c r="BC337" s="882"/>
      <c r="BD337" s="881"/>
      <c r="BE337" s="881"/>
      <c r="BF337" s="881"/>
      <c r="BG337" s="881"/>
      <c r="BH337" s="821"/>
    </row>
    <row r="338" spans="1:60" customFormat="1" hidden="1" outlineLevel="1" x14ac:dyDescent="0.25">
      <c r="A338" s="61" t="s">
        <v>54</v>
      </c>
      <c r="B338" s="505"/>
      <c r="C338" s="872">
        <f t="shared" ref="C338:AH338" si="235">C334-C337</f>
        <v>590.99800000000005</v>
      </c>
      <c r="D338" s="872">
        <f t="shared" si="235"/>
        <v>805.27</v>
      </c>
      <c r="E338" s="872">
        <f t="shared" si="235"/>
        <v>1164.6760000000002</v>
      </c>
      <c r="F338" s="872">
        <f t="shared" si="235"/>
        <v>957.22400000000016</v>
      </c>
      <c r="G338" s="871">
        <f t="shared" si="235"/>
        <v>287.00900000000001</v>
      </c>
      <c r="H338" s="871">
        <f t="shared" si="235"/>
        <v>308.69800000000009</v>
      </c>
      <c r="I338" s="871">
        <f t="shared" si="235"/>
        <v>307.09900000000005</v>
      </c>
      <c r="J338" s="871">
        <f t="shared" si="235"/>
        <v>354.55299999999909</v>
      </c>
      <c r="K338" s="872">
        <f t="shared" si="235"/>
        <v>1257.3589999999999</v>
      </c>
      <c r="L338" s="871">
        <f t="shared" si="235"/>
        <v>400.90299999999991</v>
      </c>
      <c r="M338" s="871">
        <f t="shared" si="235"/>
        <v>425.55899999999997</v>
      </c>
      <c r="N338" s="871">
        <f t="shared" si="235"/>
        <v>455.03800000000001</v>
      </c>
      <c r="O338" s="871">
        <f t="shared" si="235"/>
        <v>470.39599999999973</v>
      </c>
      <c r="P338" s="872">
        <f t="shared" si="235"/>
        <v>1751.8959999999997</v>
      </c>
      <c r="Q338" s="871">
        <f t="shared" si="235"/>
        <v>526.72799999999984</v>
      </c>
      <c r="R338" s="871">
        <f t="shared" si="235"/>
        <v>522.94200000000001</v>
      </c>
      <c r="S338" s="871">
        <f t="shared" si="235"/>
        <v>564.39699999999993</v>
      </c>
      <c r="T338" s="871">
        <f t="shared" si="235"/>
        <v>573.96800000000076</v>
      </c>
      <c r="U338" s="872">
        <f t="shared" si="235"/>
        <v>2188.0350000000008</v>
      </c>
      <c r="V338" s="871">
        <f t="shared" si="235"/>
        <v>539.1550000000002</v>
      </c>
      <c r="W338" s="871">
        <f t="shared" si="235"/>
        <v>579.80700000000024</v>
      </c>
      <c r="X338" s="871">
        <f t="shared" si="235"/>
        <v>696.42000000000007</v>
      </c>
      <c r="Y338" s="870">
        <f t="shared" si="235"/>
        <v>757.82499999999936</v>
      </c>
      <c r="Z338" s="869">
        <f t="shared" si="235"/>
        <v>2573.2069999999994</v>
      </c>
      <c r="AA338" s="871">
        <f t="shared" si="235"/>
        <v>895.90400000000022</v>
      </c>
      <c r="AB338" s="871">
        <f t="shared" si="235"/>
        <v>793.76800000000003</v>
      </c>
      <c r="AC338" s="871">
        <f t="shared" si="235"/>
        <v>898.61999999999989</v>
      </c>
      <c r="AD338" s="870">
        <f t="shared" si="235"/>
        <v>1071.4209999999998</v>
      </c>
      <c r="AE338" s="869">
        <f t="shared" si="235"/>
        <v>3659.7129999999997</v>
      </c>
      <c r="AF338" s="871">
        <f t="shared" si="235"/>
        <v>1400.277</v>
      </c>
      <c r="AG338" s="871">
        <f t="shared" si="235"/>
        <v>1504.8389999999999</v>
      </c>
      <c r="AH338" s="871">
        <f t="shared" si="235"/>
        <v>1468.2459999999996</v>
      </c>
      <c r="AI338" s="870">
        <f t="shared" ref="AI338:AQ338" si="236">AI334-AI337</f>
        <v>1453.4410000000003</v>
      </c>
      <c r="AJ338" s="869">
        <f t="shared" si="236"/>
        <v>5826.8029999999999</v>
      </c>
      <c r="AK338" s="871">
        <f t="shared" si="236"/>
        <v>1650.3780000000002</v>
      </c>
      <c r="AL338" s="871">
        <f t="shared" si="236"/>
        <v>1917.4589999999998</v>
      </c>
      <c r="AM338" s="871">
        <f t="shared" si="236"/>
        <v>2146.9859999999999</v>
      </c>
      <c r="AN338" s="870">
        <f t="shared" si="236"/>
        <v>2001.4110000000001</v>
      </c>
      <c r="AO338" s="869">
        <f t="shared" si="236"/>
        <v>7716.2340000000004</v>
      </c>
      <c r="AP338" s="871">
        <f t="shared" si="236"/>
        <v>2167.9899999999998</v>
      </c>
      <c r="AQ338" s="871">
        <f t="shared" si="236"/>
        <v>2504.5790000000002</v>
      </c>
      <c r="AR338" s="871">
        <f>AR334-AR337</f>
        <v>2567.8859999999995</v>
      </c>
      <c r="AS338" s="870">
        <f>AS334-AS337</f>
        <v>2479.2820000000038</v>
      </c>
      <c r="AT338" s="869">
        <f>AT334-AT337</f>
        <v>9719.737000000001</v>
      </c>
      <c r="AU338" s="871">
        <f t="shared" ref="AU338" si="237">AU334-AU337</f>
        <v>3294.7710000000002</v>
      </c>
      <c r="AV338" s="871">
        <f>AV334-AV337</f>
        <v>3323.7690000000002</v>
      </c>
      <c r="AW338" s="873">
        <f>AW334-AW337</f>
        <v>3276.8779999999997</v>
      </c>
      <c r="AX338" s="870"/>
      <c r="AY338" s="869"/>
      <c r="AZ338" s="870"/>
      <c r="BA338" s="870"/>
      <c r="BB338" s="870"/>
      <c r="BC338" s="870"/>
      <c r="BD338" s="869"/>
      <c r="BE338" s="869"/>
      <c r="BF338" s="869"/>
      <c r="BG338" s="869"/>
      <c r="BH338" s="824"/>
    </row>
    <row r="339" spans="1:60" customFormat="1" hidden="1" outlineLevel="1" x14ac:dyDescent="0.25">
      <c r="A339" s="367" t="s">
        <v>55</v>
      </c>
      <c r="B339" s="289"/>
      <c r="C339" s="865">
        <v>237.744</v>
      </c>
      <c r="D339" s="865">
        <v>293.839</v>
      </c>
      <c r="E339" s="865">
        <v>402.63799999999998</v>
      </c>
      <c r="F339" s="865">
        <v>439.20800000000003</v>
      </c>
      <c r="G339" s="866">
        <v>119.086</v>
      </c>
      <c r="H339" s="866">
        <v>114.611</v>
      </c>
      <c r="I339" s="866">
        <v>108.22799999999999</v>
      </c>
      <c r="J339" s="866">
        <f>K339-G339-H339-I339</f>
        <v>128.017</v>
      </c>
      <c r="K339" s="865">
        <v>469.94200000000001</v>
      </c>
      <c r="L339" s="866">
        <v>137.09800000000001</v>
      </c>
      <c r="M339" s="866">
        <v>120.76300000000001</v>
      </c>
      <c r="N339" s="866">
        <v>145.654</v>
      </c>
      <c r="O339" s="866">
        <f>P339-L339-M339-N339</f>
        <v>203.67100000000005</v>
      </c>
      <c r="P339" s="865">
        <v>607.18600000000004</v>
      </c>
      <c r="Q339" s="866">
        <v>194.67699999999999</v>
      </c>
      <c r="R339" s="866">
        <v>197.14</v>
      </c>
      <c r="S339" s="866">
        <v>208.102</v>
      </c>
      <c r="T339" s="866">
        <f>U339-Q339-R339-S339</f>
        <v>224.17299999999997</v>
      </c>
      <c r="U339" s="865">
        <v>824.09199999999998</v>
      </c>
      <c r="V339" s="866">
        <v>231.465</v>
      </c>
      <c r="W339" s="866">
        <v>240.59</v>
      </c>
      <c r="X339" s="866">
        <v>311.017</v>
      </c>
      <c r="Y339" s="866">
        <v>314.447</v>
      </c>
      <c r="Z339" s="865">
        <v>1097.519</v>
      </c>
      <c r="AA339" s="866">
        <v>306.14800000000002</v>
      </c>
      <c r="AB339" s="866">
        <v>311.16000000000003</v>
      </c>
      <c r="AC339" s="866">
        <v>352.44600000000003</v>
      </c>
      <c r="AD339" s="866">
        <v>466.52699999999999</v>
      </c>
      <c r="AE339" s="865">
        <v>1436.2809999999999</v>
      </c>
      <c r="AF339" s="866">
        <v>536.77700000000004</v>
      </c>
      <c r="AG339" s="866">
        <v>592.00699999999995</v>
      </c>
      <c r="AH339" s="866">
        <v>510.33</v>
      </c>
      <c r="AI339" s="866">
        <f>AJ339-AF339-AG339-AH339</f>
        <v>730.35500000000002</v>
      </c>
      <c r="AJ339" s="865">
        <v>2369.4690000000001</v>
      </c>
      <c r="AK339" s="866">
        <v>616.57799999999997</v>
      </c>
      <c r="AL339" s="866">
        <v>603.15</v>
      </c>
      <c r="AM339" s="866">
        <v>553.79700000000003</v>
      </c>
      <c r="AN339" s="866">
        <f>AO339-AK339-AL339-AM339</f>
        <v>878.9369999999999</v>
      </c>
      <c r="AO339" s="865">
        <v>2652.462</v>
      </c>
      <c r="AP339" s="866">
        <v>503.83</v>
      </c>
      <c r="AQ339" s="866">
        <v>434.37</v>
      </c>
      <c r="AR339" s="866">
        <v>527.59699999999998</v>
      </c>
      <c r="AS339" s="866">
        <f>AT339-AP339-AQ339-AR339</f>
        <v>762.56500000000028</v>
      </c>
      <c r="AT339" s="865">
        <v>2228.3620000000001</v>
      </c>
      <c r="AU339" s="866">
        <v>512.51199999999994</v>
      </c>
      <c r="AV339" s="866">
        <v>603.97299999999996</v>
      </c>
      <c r="AW339" s="878">
        <v>635.94799999999998</v>
      </c>
      <c r="AX339" s="867"/>
      <c r="AY339" s="864"/>
      <c r="AZ339" s="867"/>
      <c r="BA339" s="867"/>
      <c r="BB339" s="867"/>
      <c r="BC339" s="867"/>
      <c r="BD339" s="864"/>
      <c r="BE339" s="864"/>
      <c r="BF339" s="864"/>
      <c r="BG339" s="864"/>
      <c r="BH339" s="821"/>
    </row>
    <row r="340" spans="1:60" customFormat="1" hidden="1" outlineLevel="1" x14ac:dyDescent="0.25">
      <c r="A340" s="367" t="s">
        <v>56</v>
      </c>
      <c r="B340" s="289"/>
      <c r="C340" s="865">
        <v>114.542</v>
      </c>
      <c r="D340" s="865">
        <v>163.32900000000001</v>
      </c>
      <c r="E340" s="865">
        <v>259.03300000000002</v>
      </c>
      <c r="F340" s="865">
        <v>329.00799999999998</v>
      </c>
      <c r="G340" s="866">
        <v>91.974999999999994</v>
      </c>
      <c r="H340" s="866">
        <v>93.126000000000005</v>
      </c>
      <c r="I340" s="866">
        <v>95.54</v>
      </c>
      <c r="J340" s="866">
        <f>K340-G340-H340-I340</f>
        <v>98.127999999999972</v>
      </c>
      <c r="K340" s="865">
        <v>378.76900000000001</v>
      </c>
      <c r="L340" s="866">
        <v>110.31</v>
      </c>
      <c r="M340" s="866">
        <v>115.182</v>
      </c>
      <c r="N340" s="866">
        <v>120.953</v>
      </c>
      <c r="O340" s="866">
        <f>P340-L340-M340-N340</f>
        <v>125.876</v>
      </c>
      <c r="P340" s="865">
        <v>472.32100000000003</v>
      </c>
      <c r="Q340" s="866">
        <v>143.10599999999999</v>
      </c>
      <c r="R340" s="866">
        <v>155.06100000000001</v>
      </c>
      <c r="S340" s="866">
        <v>171.762</v>
      </c>
      <c r="T340" s="866">
        <f>U340-Q340-R340-S340</f>
        <v>180.85899999999998</v>
      </c>
      <c r="U340" s="865">
        <v>650.78800000000001</v>
      </c>
      <c r="V340" s="866">
        <v>186.61</v>
      </c>
      <c r="W340" s="866">
        <v>190.20400000000001</v>
      </c>
      <c r="X340" s="866">
        <v>197.506</v>
      </c>
      <c r="Y340" s="866">
        <v>205.91200000000001</v>
      </c>
      <c r="Z340" s="865">
        <v>780.23199999999997</v>
      </c>
      <c r="AA340" s="866">
        <v>233.87100000000001</v>
      </c>
      <c r="AB340" s="866">
        <v>242.48400000000001</v>
      </c>
      <c r="AC340" s="866">
        <v>230.22300000000001</v>
      </c>
      <c r="AD340" s="866">
        <v>247.13200000000001</v>
      </c>
      <c r="AE340" s="865">
        <v>953.71</v>
      </c>
      <c r="AF340" s="866">
        <v>282.31</v>
      </c>
      <c r="AG340" s="866">
        <v>299.09500000000003</v>
      </c>
      <c r="AH340" s="866">
        <v>308.62</v>
      </c>
      <c r="AI340" s="866">
        <f>AJ340-AF340-AG340-AH340</f>
        <v>331.7890000000001</v>
      </c>
      <c r="AJ340" s="865">
        <v>1221.8140000000001</v>
      </c>
      <c r="AK340" s="866">
        <v>372.76400000000001</v>
      </c>
      <c r="AL340" s="866">
        <v>383.233</v>
      </c>
      <c r="AM340" s="866">
        <v>379.77600000000001</v>
      </c>
      <c r="AN340" s="866">
        <f>AO340-AK340-AL340-AM340</f>
        <v>409.37599999999981</v>
      </c>
      <c r="AO340" s="865">
        <v>1545.1489999999999</v>
      </c>
      <c r="AP340" s="866">
        <v>453.81700000000001</v>
      </c>
      <c r="AQ340" s="866">
        <v>435.04500000000002</v>
      </c>
      <c r="AR340" s="866">
        <v>453.80200000000002</v>
      </c>
      <c r="AS340" s="866">
        <f>AT340-AP340-AQ340-AR340</f>
        <v>486.93599999999981</v>
      </c>
      <c r="AT340" s="865">
        <v>1829.6</v>
      </c>
      <c r="AU340" s="866">
        <v>525.20699999999999</v>
      </c>
      <c r="AV340" s="866">
        <v>537.32100000000003</v>
      </c>
      <c r="AW340" s="878">
        <v>563.88699999999994</v>
      </c>
      <c r="AX340" s="867"/>
      <c r="AY340" s="864"/>
      <c r="AZ340" s="867"/>
      <c r="BA340" s="867"/>
      <c r="BB340" s="867"/>
      <c r="BC340" s="867"/>
      <c r="BD340" s="864"/>
      <c r="BE340" s="864"/>
      <c r="BF340" s="864"/>
      <c r="BG340" s="864"/>
      <c r="BH340" s="821"/>
    </row>
    <row r="341" spans="1:60" customFormat="1" hidden="1" outlineLevel="1" x14ac:dyDescent="0.25">
      <c r="A341" s="367" t="s">
        <v>57</v>
      </c>
      <c r="B341" s="289"/>
      <c r="C341" s="865">
        <v>46.773000000000003</v>
      </c>
      <c r="D341" s="865">
        <v>64.460999999999999</v>
      </c>
      <c r="E341" s="865">
        <v>126.937</v>
      </c>
      <c r="F341" s="865">
        <v>139.01599999999999</v>
      </c>
      <c r="G341" s="866">
        <v>44.125999999999998</v>
      </c>
      <c r="H341" s="866">
        <v>43.844000000000001</v>
      </c>
      <c r="I341" s="866">
        <v>46.210999999999999</v>
      </c>
      <c r="J341" s="866">
        <f>K341-G341-H341-I341</f>
        <v>46.11999999999999</v>
      </c>
      <c r="K341" s="865">
        <v>180.30099999999999</v>
      </c>
      <c r="L341" s="866">
        <v>55.9</v>
      </c>
      <c r="M341" s="866">
        <v>60.014000000000003</v>
      </c>
      <c r="N341" s="866">
        <v>78.024000000000001</v>
      </c>
      <c r="O341" s="866">
        <f>P341-L341-M341-N341</f>
        <v>75.802999999999969</v>
      </c>
      <c r="P341" s="865">
        <v>269.74099999999999</v>
      </c>
      <c r="Q341" s="866">
        <v>91.489000000000004</v>
      </c>
      <c r="R341" s="866">
        <v>95.906000000000006</v>
      </c>
      <c r="S341" s="866">
        <v>110.892</v>
      </c>
      <c r="T341" s="866">
        <f>U341-Q341-R341-S341</f>
        <v>109.04200000000003</v>
      </c>
      <c r="U341" s="865">
        <v>407.32900000000001</v>
      </c>
      <c r="V341" s="866">
        <v>71.626999999999995</v>
      </c>
      <c r="W341" s="866">
        <v>78.643000000000001</v>
      </c>
      <c r="X341" s="866">
        <v>81.861000000000004</v>
      </c>
      <c r="Y341" s="866">
        <v>83.531999999999996</v>
      </c>
      <c r="Z341" s="865">
        <v>315.66300000000001</v>
      </c>
      <c r="AA341" s="866">
        <v>98.942999999999998</v>
      </c>
      <c r="AB341" s="866">
        <v>112.31699999999999</v>
      </c>
      <c r="AC341" s="866">
        <v>107.324</v>
      </c>
      <c r="AD341" s="866">
        <v>112.459</v>
      </c>
      <c r="AE341" s="865">
        <v>431.04300000000001</v>
      </c>
      <c r="AF341" s="866">
        <v>134.61199999999999</v>
      </c>
      <c r="AG341" s="866">
        <v>151.524</v>
      </c>
      <c r="AH341" s="866">
        <v>168.62799999999999</v>
      </c>
      <c r="AI341" s="866">
        <f>AJ341-AF341-AG341-AH341</f>
        <v>175.53000000000003</v>
      </c>
      <c r="AJ341" s="865">
        <v>630.29399999999998</v>
      </c>
      <c r="AK341" s="866">
        <v>201.952</v>
      </c>
      <c r="AL341" s="866">
        <v>224.65700000000001</v>
      </c>
      <c r="AM341" s="866">
        <v>233.17400000000001</v>
      </c>
      <c r="AN341" s="866">
        <f>AO341-AK341-AL341-AM341</f>
        <v>254.58599999999998</v>
      </c>
      <c r="AO341" s="865">
        <v>914.36900000000003</v>
      </c>
      <c r="AP341" s="866">
        <v>252.08699999999999</v>
      </c>
      <c r="AQ341" s="866">
        <v>277.23599999999999</v>
      </c>
      <c r="AR341" s="866">
        <v>271.62400000000002</v>
      </c>
      <c r="AS341" s="866">
        <f>AT341-AP341-AQ341-AR341</f>
        <v>275.5390000000001</v>
      </c>
      <c r="AT341" s="865">
        <v>1076.4860000000001</v>
      </c>
      <c r="AU341" s="866">
        <v>297.19600000000003</v>
      </c>
      <c r="AV341" s="866">
        <v>334.84500000000003</v>
      </c>
      <c r="AW341" s="878">
        <v>321.79000000000002</v>
      </c>
      <c r="AX341" s="867"/>
      <c r="AY341" s="864"/>
      <c r="AZ341" s="867"/>
      <c r="BA341" s="867"/>
      <c r="BB341" s="867"/>
      <c r="BC341" s="867"/>
      <c r="BD341" s="864"/>
      <c r="BE341" s="864"/>
      <c r="BF341" s="864"/>
      <c r="BG341" s="864"/>
      <c r="BH341" s="821"/>
    </row>
    <row r="342" spans="1:60" customFormat="1" hidden="1" outlineLevel="1" x14ac:dyDescent="0.25">
      <c r="A342" s="68" t="s">
        <v>58</v>
      </c>
      <c r="B342" s="505"/>
      <c r="C342" s="872">
        <f t="shared" ref="C342:AH342" si="238">SUM(C339:C341)</f>
        <v>399.05900000000003</v>
      </c>
      <c r="D342" s="872">
        <f t="shared" si="238"/>
        <v>521.62900000000002</v>
      </c>
      <c r="E342" s="872">
        <f t="shared" si="238"/>
        <v>788.60800000000006</v>
      </c>
      <c r="F342" s="872">
        <f t="shared" si="238"/>
        <v>907.23199999999997</v>
      </c>
      <c r="G342" s="871">
        <f t="shared" si="238"/>
        <v>255.18699999999998</v>
      </c>
      <c r="H342" s="871">
        <f t="shared" si="238"/>
        <v>251.58100000000002</v>
      </c>
      <c r="I342" s="871">
        <f t="shared" si="238"/>
        <v>249.97899999999998</v>
      </c>
      <c r="J342" s="871">
        <f t="shared" si="238"/>
        <v>272.26499999999999</v>
      </c>
      <c r="K342" s="872">
        <f t="shared" si="238"/>
        <v>1029.0119999999999</v>
      </c>
      <c r="L342" s="871">
        <f t="shared" si="238"/>
        <v>303.30799999999999</v>
      </c>
      <c r="M342" s="871">
        <f t="shared" si="238"/>
        <v>295.959</v>
      </c>
      <c r="N342" s="871">
        <f t="shared" si="238"/>
        <v>344.63099999999997</v>
      </c>
      <c r="O342" s="871">
        <f t="shared" si="238"/>
        <v>405.35</v>
      </c>
      <c r="P342" s="872">
        <f t="shared" si="238"/>
        <v>1349.248</v>
      </c>
      <c r="Q342" s="871">
        <f t="shared" si="238"/>
        <v>429.27200000000005</v>
      </c>
      <c r="R342" s="871">
        <f t="shared" si="238"/>
        <v>448.10700000000003</v>
      </c>
      <c r="S342" s="871">
        <f t="shared" si="238"/>
        <v>490.75600000000003</v>
      </c>
      <c r="T342" s="871">
        <f t="shared" si="238"/>
        <v>514.07399999999996</v>
      </c>
      <c r="U342" s="872">
        <f t="shared" si="238"/>
        <v>1882.2090000000001</v>
      </c>
      <c r="V342" s="871">
        <f t="shared" si="238"/>
        <v>489.70200000000006</v>
      </c>
      <c r="W342" s="871">
        <f t="shared" si="238"/>
        <v>509.43700000000001</v>
      </c>
      <c r="X342" s="871">
        <f t="shared" si="238"/>
        <v>590.38400000000001</v>
      </c>
      <c r="Y342" s="870">
        <f t="shared" si="238"/>
        <v>603.89100000000008</v>
      </c>
      <c r="Z342" s="869">
        <f t="shared" si="238"/>
        <v>2193.4139999999998</v>
      </c>
      <c r="AA342" s="871">
        <f t="shared" si="238"/>
        <v>638.96199999999999</v>
      </c>
      <c r="AB342" s="871">
        <f t="shared" si="238"/>
        <v>665.96100000000001</v>
      </c>
      <c r="AC342" s="871">
        <f t="shared" si="238"/>
        <v>689.99300000000005</v>
      </c>
      <c r="AD342" s="870">
        <f t="shared" si="238"/>
        <v>826.11799999999994</v>
      </c>
      <c r="AE342" s="869">
        <f t="shared" si="238"/>
        <v>2821.0340000000001</v>
      </c>
      <c r="AF342" s="871">
        <f t="shared" si="238"/>
        <v>953.69899999999996</v>
      </c>
      <c r="AG342" s="871">
        <f t="shared" si="238"/>
        <v>1042.626</v>
      </c>
      <c r="AH342" s="871">
        <f t="shared" si="238"/>
        <v>987.57799999999997</v>
      </c>
      <c r="AI342" s="870">
        <f t="shared" ref="AI342:AW342" si="239">SUM(AI339:AI341)</f>
        <v>1237.6740000000002</v>
      </c>
      <c r="AJ342" s="869">
        <f t="shared" si="239"/>
        <v>4221.5770000000002</v>
      </c>
      <c r="AK342" s="871">
        <f t="shared" si="239"/>
        <v>1191.2939999999999</v>
      </c>
      <c r="AL342" s="871">
        <f t="shared" si="239"/>
        <v>1211.04</v>
      </c>
      <c r="AM342" s="871">
        <f t="shared" si="239"/>
        <v>1166.7470000000001</v>
      </c>
      <c r="AN342" s="870">
        <f t="shared" si="239"/>
        <v>1542.8989999999997</v>
      </c>
      <c r="AO342" s="869">
        <f t="shared" si="239"/>
        <v>5111.9799999999996</v>
      </c>
      <c r="AP342" s="871">
        <f t="shared" si="239"/>
        <v>1209.7339999999999</v>
      </c>
      <c r="AQ342" s="871">
        <f t="shared" si="239"/>
        <v>1146.6509999999998</v>
      </c>
      <c r="AR342" s="871">
        <f t="shared" si="239"/>
        <v>1253.0230000000001</v>
      </c>
      <c r="AS342" s="870">
        <f t="shared" si="239"/>
        <v>1525.0400000000004</v>
      </c>
      <c r="AT342" s="869">
        <f t="shared" si="239"/>
        <v>5134.4480000000003</v>
      </c>
      <c r="AU342" s="871">
        <f t="shared" si="239"/>
        <v>1334.915</v>
      </c>
      <c r="AV342" s="871">
        <f t="shared" si="239"/>
        <v>1476.1389999999999</v>
      </c>
      <c r="AW342" s="873">
        <f t="shared" si="239"/>
        <v>1521.625</v>
      </c>
      <c r="AX342" s="870"/>
      <c r="AY342" s="869"/>
      <c r="AZ342" s="870"/>
      <c r="BA342" s="870"/>
      <c r="BB342" s="870"/>
      <c r="BC342" s="870"/>
      <c r="BD342" s="869"/>
      <c r="BE342" s="869"/>
      <c r="BF342" s="869"/>
      <c r="BG342" s="869"/>
      <c r="BH342" s="824"/>
    </row>
    <row r="343" spans="1:60" customFormat="1" hidden="1" outlineLevel="1" x14ac:dyDescent="0.25">
      <c r="A343" s="62" t="s">
        <v>59</v>
      </c>
      <c r="B343" s="423"/>
      <c r="C343" s="875">
        <f t="shared" ref="C343:AH343" si="240">C338-C342</f>
        <v>191.93900000000002</v>
      </c>
      <c r="D343" s="875">
        <f t="shared" si="240"/>
        <v>283.64099999999996</v>
      </c>
      <c r="E343" s="875">
        <f t="shared" si="240"/>
        <v>376.0680000000001</v>
      </c>
      <c r="F343" s="875">
        <f t="shared" si="240"/>
        <v>49.992000000000189</v>
      </c>
      <c r="G343" s="876">
        <f t="shared" si="240"/>
        <v>31.822000000000031</v>
      </c>
      <c r="H343" s="876">
        <f t="shared" si="240"/>
        <v>57.117000000000075</v>
      </c>
      <c r="I343" s="876">
        <f t="shared" si="240"/>
        <v>57.120000000000061</v>
      </c>
      <c r="J343" s="876">
        <f t="shared" si="240"/>
        <v>82.287999999999101</v>
      </c>
      <c r="K343" s="875">
        <f t="shared" si="240"/>
        <v>228.34699999999998</v>
      </c>
      <c r="L343" s="876">
        <f t="shared" si="240"/>
        <v>97.594999999999914</v>
      </c>
      <c r="M343" s="876">
        <f t="shared" si="240"/>
        <v>129.59999999999997</v>
      </c>
      <c r="N343" s="876">
        <f t="shared" si="240"/>
        <v>110.40700000000004</v>
      </c>
      <c r="O343" s="876">
        <f t="shared" si="240"/>
        <v>65.045999999999708</v>
      </c>
      <c r="P343" s="875">
        <f t="shared" si="240"/>
        <v>402.64799999999968</v>
      </c>
      <c r="Q343" s="876">
        <f t="shared" si="240"/>
        <v>97.45599999999979</v>
      </c>
      <c r="R343" s="876">
        <f t="shared" si="240"/>
        <v>74.83499999999998</v>
      </c>
      <c r="S343" s="876">
        <f t="shared" si="240"/>
        <v>73.640999999999906</v>
      </c>
      <c r="T343" s="876">
        <f t="shared" si="240"/>
        <v>59.894000000000801</v>
      </c>
      <c r="U343" s="875">
        <f t="shared" si="240"/>
        <v>305.8260000000007</v>
      </c>
      <c r="V343" s="876">
        <f t="shared" si="240"/>
        <v>49.453000000000145</v>
      </c>
      <c r="W343" s="876">
        <f t="shared" si="240"/>
        <v>70.370000000000232</v>
      </c>
      <c r="X343" s="876">
        <f t="shared" si="240"/>
        <v>106.03600000000006</v>
      </c>
      <c r="Y343" s="879">
        <f t="shared" si="240"/>
        <v>153.93399999999929</v>
      </c>
      <c r="Z343" s="874">
        <f t="shared" si="240"/>
        <v>379.79299999999967</v>
      </c>
      <c r="AA343" s="876">
        <f t="shared" si="240"/>
        <v>256.94200000000023</v>
      </c>
      <c r="AB343" s="876">
        <f t="shared" si="240"/>
        <v>127.80700000000002</v>
      </c>
      <c r="AC343" s="876">
        <f t="shared" si="240"/>
        <v>208.62699999999984</v>
      </c>
      <c r="AD343" s="879">
        <f t="shared" si="240"/>
        <v>245.30299999999988</v>
      </c>
      <c r="AE343" s="874">
        <f t="shared" si="240"/>
        <v>838.67899999999963</v>
      </c>
      <c r="AF343" s="876">
        <f t="shared" si="240"/>
        <v>446.57800000000009</v>
      </c>
      <c r="AG343" s="876">
        <f t="shared" si="240"/>
        <v>462.21299999999997</v>
      </c>
      <c r="AH343" s="876">
        <f t="shared" si="240"/>
        <v>480.66799999999967</v>
      </c>
      <c r="AI343" s="879">
        <f t="shared" ref="AI343:AW343" si="241">AI338-AI342</f>
        <v>215.76700000000005</v>
      </c>
      <c r="AJ343" s="874">
        <f t="shared" si="241"/>
        <v>1605.2259999999997</v>
      </c>
      <c r="AK343" s="876">
        <f t="shared" si="241"/>
        <v>459.08400000000029</v>
      </c>
      <c r="AL343" s="876">
        <f t="shared" si="241"/>
        <v>706.41899999999987</v>
      </c>
      <c r="AM343" s="876">
        <f t="shared" si="241"/>
        <v>980.23899999999981</v>
      </c>
      <c r="AN343" s="879">
        <f t="shared" si="241"/>
        <v>458.5120000000004</v>
      </c>
      <c r="AO343" s="874">
        <f t="shared" si="241"/>
        <v>2604.2540000000008</v>
      </c>
      <c r="AP343" s="876">
        <f t="shared" si="241"/>
        <v>958.25599999999986</v>
      </c>
      <c r="AQ343" s="876">
        <f t="shared" si="241"/>
        <v>1357.9280000000003</v>
      </c>
      <c r="AR343" s="876">
        <f t="shared" si="241"/>
        <v>1314.8629999999994</v>
      </c>
      <c r="AS343" s="879">
        <f t="shared" si="241"/>
        <v>954.24200000000337</v>
      </c>
      <c r="AT343" s="874">
        <f t="shared" si="241"/>
        <v>4585.2890000000007</v>
      </c>
      <c r="AU343" s="876">
        <f t="shared" si="241"/>
        <v>1959.8560000000002</v>
      </c>
      <c r="AV343" s="876">
        <f t="shared" si="241"/>
        <v>1847.6300000000003</v>
      </c>
      <c r="AW343" s="877">
        <f t="shared" si="241"/>
        <v>1755.2529999999997</v>
      </c>
      <c r="AX343" s="879"/>
      <c r="AY343" s="874"/>
      <c r="AZ343" s="879"/>
      <c r="BA343" s="879"/>
      <c r="BB343" s="879"/>
      <c r="BC343" s="879"/>
      <c r="BD343" s="874"/>
      <c r="BE343" s="874"/>
      <c r="BF343" s="874"/>
      <c r="BG343" s="874"/>
      <c r="BH343" s="824"/>
    </row>
    <row r="344" spans="1:60" customFormat="1" hidden="1" outlineLevel="1" x14ac:dyDescent="0.25">
      <c r="A344" s="367" t="s">
        <v>60</v>
      </c>
      <c r="B344" s="289"/>
      <c r="C344" s="865">
        <v>-6.4749999999999996</v>
      </c>
      <c r="D344" s="865">
        <v>-19.629000000000001</v>
      </c>
      <c r="E344" s="865">
        <v>-20.024999999999999</v>
      </c>
      <c r="F344" s="865">
        <v>-19.986000000000001</v>
      </c>
      <c r="G344" s="866">
        <v>-6.74</v>
      </c>
      <c r="H344" s="866">
        <v>-7.5279999999999996</v>
      </c>
      <c r="I344" s="866">
        <v>-7.4359999999999999</v>
      </c>
      <c r="J344" s="866">
        <f>K344-G344-H344-I344</f>
        <v>-7.4380000000000024</v>
      </c>
      <c r="K344" s="865">
        <v>-29.141999999999999</v>
      </c>
      <c r="L344" s="866">
        <v>-10.052</v>
      </c>
      <c r="M344" s="866">
        <v>-13.327999999999999</v>
      </c>
      <c r="N344" s="866">
        <v>-13.486000000000001</v>
      </c>
      <c r="O344" s="866">
        <f>P344-L344-M344-N344</f>
        <v>-13.353000000000002</v>
      </c>
      <c r="P344" s="865">
        <v>-50.219000000000001</v>
      </c>
      <c r="Q344" s="866">
        <v>-26.736999999999998</v>
      </c>
      <c r="R344" s="866">
        <v>-35.216999999999999</v>
      </c>
      <c r="S344" s="866">
        <v>-35.332999999999998</v>
      </c>
      <c r="T344" s="866">
        <f>U344-Q344-R344-S344</f>
        <v>-35.429000000000016</v>
      </c>
      <c r="U344" s="865">
        <v>-132.71600000000001</v>
      </c>
      <c r="V344" s="866">
        <v>-35.536999999999999</v>
      </c>
      <c r="W344" s="866">
        <v>-35.454999999999998</v>
      </c>
      <c r="X344" s="866">
        <v>-35.536000000000001</v>
      </c>
      <c r="Y344" s="866">
        <f>Z344-V344-W344-X344</f>
        <v>-43.585999999999999</v>
      </c>
      <c r="Z344" s="865">
        <v>-150.114</v>
      </c>
      <c r="AA344" s="866">
        <v>-46.741999999999997</v>
      </c>
      <c r="AB344" s="866">
        <v>-55.481999999999999</v>
      </c>
      <c r="AC344" s="866">
        <v>-60.688000000000002</v>
      </c>
      <c r="AD344" s="866">
        <f>AE344-AA344-AB344-AC344</f>
        <v>-75.292000000000016</v>
      </c>
      <c r="AE344" s="865">
        <v>-238.20400000000001</v>
      </c>
      <c r="AF344" s="866">
        <v>-81.218999999999994</v>
      </c>
      <c r="AG344" s="866">
        <v>-101.605</v>
      </c>
      <c r="AH344" s="866">
        <v>-108.86199999999999</v>
      </c>
      <c r="AI344" s="866">
        <v>-128.80699999999999</v>
      </c>
      <c r="AJ344" s="865">
        <v>-420.49299999999999</v>
      </c>
      <c r="AK344" s="866">
        <v>-135.529</v>
      </c>
      <c r="AL344" s="866">
        <v>-152.03299999999999</v>
      </c>
      <c r="AM344" s="866">
        <v>-160.66</v>
      </c>
      <c r="AN344" s="866">
        <f>AO344-SUM(AK344,AL344,AM344)</f>
        <v>-177.80100000000004</v>
      </c>
      <c r="AO344" s="865">
        <v>-626.02300000000002</v>
      </c>
      <c r="AP344" s="866">
        <v>-184.083</v>
      </c>
      <c r="AQ344" s="866">
        <v>-189.15100000000001</v>
      </c>
      <c r="AR344" s="866">
        <v>-197.07900000000001</v>
      </c>
      <c r="AS344" s="866">
        <f>AT344-SUM(AP344,AQ344,AR344)</f>
        <v>-197.18599999999992</v>
      </c>
      <c r="AT344" s="865">
        <v>-767.49900000000002</v>
      </c>
      <c r="AU344" s="866">
        <v>-194.44</v>
      </c>
      <c r="AV344" s="866">
        <v>-191.322</v>
      </c>
      <c r="AW344" s="878">
        <v>-190.429</v>
      </c>
      <c r="AX344" s="867"/>
      <c r="AY344" s="864"/>
      <c r="AZ344" s="867"/>
      <c r="BA344" s="867"/>
      <c r="BB344" s="867"/>
      <c r="BC344" s="867"/>
      <c r="BD344" s="864"/>
      <c r="BE344" s="864"/>
      <c r="BF344" s="864"/>
      <c r="BG344" s="864"/>
      <c r="BH344" s="821"/>
    </row>
    <row r="345" spans="1:60" customFormat="1" hidden="1" outlineLevel="1" x14ac:dyDescent="0.25">
      <c r="A345" s="367" t="s">
        <v>61</v>
      </c>
      <c r="B345" s="289"/>
      <c r="C345" s="865">
        <v>6.7279999999999998</v>
      </c>
      <c r="D345" s="865">
        <v>3.6840000000000002</v>
      </c>
      <c r="E345" s="865">
        <v>3.4790000000000001</v>
      </c>
      <c r="F345" s="865">
        <v>0.47399999999999998</v>
      </c>
      <c r="G345" s="866">
        <v>0.97699999999999998</v>
      </c>
      <c r="H345" s="866">
        <v>-2.94</v>
      </c>
      <c r="I345" s="866">
        <v>-0.193</v>
      </c>
      <c r="J345" s="866">
        <f>K345-G345-H345-I345</f>
        <v>-0.84599999999999964</v>
      </c>
      <c r="K345" s="865">
        <v>-3.0019999999999998</v>
      </c>
      <c r="L345" s="866">
        <v>1.401</v>
      </c>
      <c r="M345" s="866">
        <v>1.1000000000000001</v>
      </c>
      <c r="N345" s="866">
        <v>0.61599999999999999</v>
      </c>
      <c r="O345" s="866">
        <f>P345-L345-M345-N345</f>
        <v>-6.1769999999999996</v>
      </c>
      <c r="P345" s="865">
        <v>-3.06</v>
      </c>
      <c r="Q345" s="866">
        <v>-32.292999999999999</v>
      </c>
      <c r="R345" s="866">
        <v>0.872</v>
      </c>
      <c r="S345" s="866">
        <v>3.93</v>
      </c>
      <c r="T345" s="866">
        <f>U345-Q345-R345-S345</f>
        <v>-3.7340000000000022</v>
      </c>
      <c r="U345" s="865">
        <v>-31.225000000000001</v>
      </c>
      <c r="V345" s="866">
        <v>25.963000000000001</v>
      </c>
      <c r="W345" s="866">
        <v>16.317</v>
      </c>
      <c r="X345" s="866">
        <v>8.6270000000000007</v>
      </c>
      <c r="Y345" s="866">
        <f>Z345-V345-W345-X345</f>
        <v>-20.079000000000001</v>
      </c>
      <c r="Z345" s="865">
        <v>30.827999999999999</v>
      </c>
      <c r="AA345" s="866">
        <v>13.592000000000001</v>
      </c>
      <c r="AB345" s="866">
        <v>-58.363</v>
      </c>
      <c r="AC345" s="866">
        <v>-31.702000000000002</v>
      </c>
      <c r="AD345" s="866">
        <f>AE345-AA345-AB345-AC345</f>
        <v>-38.681000000000012</v>
      </c>
      <c r="AE345" s="865">
        <v>-115.154</v>
      </c>
      <c r="AF345" s="866">
        <v>-65.742999999999995</v>
      </c>
      <c r="AG345" s="866">
        <v>68.028000000000006</v>
      </c>
      <c r="AH345" s="866">
        <v>7.0039999999999996</v>
      </c>
      <c r="AI345" s="866">
        <v>32.436</v>
      </c>
      <c r="AJ345" s="865">
        <v>41.725000000000001</v>
      </c>
      <c r="AK345" s="866">
        <v>76.103999999999999</v>
      </c>
      <c r="AL345" s="866">
        <v>-53.47</v>
      </c>
      <c r="AM345" s="866">
        <v>192.744</v>
      </c>
      <c r="AN345" s="866">
        <f>AO345-SUM(AK345,AL345,AM345)</f>
        <v>-131.37799999999999</v>
      </c>
      <c r="AO345" s="865">
        <v>84</v>
      </c>
      <c r="AP345" s="866">
        <v>21.696999999999999</v>
      </c>
      <c r="AQ345" s="866">
        <v>-133.17500000000001</v>
      </c>
      <c r="AR345" s="866">
        <v>-256.32400000000001</v>
      </c>
      <c r="AS345" s="866">
        <f>AT345-SUM(AP345,AQ345,AR345)</f>
        <v>-250.63900000000001</v>
      </c>
      <c r="AT345" s="865">
        <v>-618.44100000000003</v>
      </c>
      <c r="AU345" s="866">
        <v>269.08600000000001</v>
      </c>
      <c r="AV345" s="866">
        <v>-62.518999999999998</v>
      </c>
      <c r="AW345" s="878">
        <v>96.135000000000005</v>
      </c>
      <c r="AX345" s="867"/>
      <c r="AY345" s="864"/>
      <c r="AZ345" s="867"/>
      <c r="BA345" s="867"/>
      <c r="BB345" s="867"/>
      <c r="BC345" s="867"/>
      <c r="BD345" s="864"/>
      <c r="BE345" s="864"/>
      <c r="BF345" s="864"/>
      <c r="BG345" s="864"/>
      <c r="BH345" s="821"/>
    </row>
    <row r="346" spans="1:60" customFormat="1" hidden="1" outlineLevel="1" x14ac:dyDescent="0.25">
      <c r="A346" s="113" t="s">
        <v>62</v>
      </c>
      <c r="B346" s="441"/>
      <c r="C346" s="886">
        <v>0</v>
      </c>
      <c r="D346" s="886">
        <v>0</v>
      </c>
      <c r="E346" s="886">
        <v>0</v>
      </c>
      <c r="F346" s="886">
        <v>0</v>
      </c>
      <c r="G346" s="885">
        <v>-25.129000000000001</v>
      </c>
      <c r="H346" s="885">
        <v>0</v>
      </c>
      <c r="I346" s="885">
        <v>0</v>
      </c>
      <c r="J346" s="885">
        <f>K346-G346-H346-I346</f>
        <v>0</v>
      </c>
      <c r="K346" s="886">
        <v>-25.129000000000001</v>
      </c>
      <c r="L346" s="885">
        <v>0</v>
      </c>
      <c r="M346" s="885">
        <v>0</v>
      </c>
      <c r="N346" s="885">
        <v>0</v>
      </c>
      <c r="O346" s="885">
        <f>P346-L346-M346-N346</f>
        <v>0</v>
      </c>
      <c r="P346" s="886">
        <v>0</v>
      </c>
      <c r="Q346" s="885">
        <v>0</v>
      </c>
      <c r="R346" s="885">
        <v>0</v>
      </c>
      <c r="S346" s="885">
        <v>0</v>
      </c>
      <c r="T346" s="885">
        <f>U346-Q346-R346-S346</f>
        <v>0</v>
      </c>
      <c r="U346" s="886">
        <v>0</v>
      </c>
      <c r="V346" s="885">
        <v>0</v>
      </c>
      <c r="W346" s="882"/>
      <c r="X346" s="882"/>
      <c r="Y346" s="885">
        <f>Z346-V346-W346-X346</f>
        <v>0</v>
      </c>
      <c r="Z346" s="881"/>
      <c r="AA346" s="882"/>
      <c r="AB346" s="882"/>
      <c r="AC346" s="882"/>
      <c r="AD346" s="885">
        <f>AE346-AA346-AB346-AC346</f>
        <v>0</v>
      </c>
      <c r="AE346" s="881"/>
      <c r="AF346" s="882"/>
      <c r="AG346" s="882"/>
      <c r="AH346" s="882"/>
      <c r="AI346" s="885">
        <v>0</v>
      </c>
      <c r="AJ346" s="881"/>
      <c r="AK346" s="882"/>
      <c r="AL346" s="882"/>
      <c r="AM346" s="882"/>
      <c r="AN346" s="882"/>
      <c r="AO346" s="881"/>
      <c r="AP346" s="882"/>
      <c r="AQ346" s="882"/>
      <c r="AR346" s="882"/>
      <c r="AS346" s="882"/>
      <c r="AT346" s="881"/>
      <c r="AU346" s="882"/>
      <c r="AV346" s="882"/>
      <c r="AW346" s="883"/>
      <c r="AX346" s="882"/>
      <c r="AY346" s="881"/>
      <c r="AZ346" s="882"/>
      <c r="BA346" s="882"/>
      <c r="BB346" s="882"/>
      <c r="BC346" s="882"/>
      <c r="BD346" s="881"/>
      <c r="BE346" s="881"/>
      <c r="BF346" s="881"/>
      <c r="BG346" s="881"/>
      <c r="BH346" s="821"/>
    </row>
    <row r="347" spans="1:60" customFormat="1" hidden="1" outlineLevel="1" x14ac:dyDescent="0.25">
      <c r="A347" s="61" t="s">
        <v>63</v>
      </c>
      <c r="B347" s="505"/>
      <c r="C347" s="872">
        <f t="shared" ref="C347:AH347" si="242">SUM(C343:C346)</f>
        <v>192.19200000000004</v>
      </c>
      <c r="D347" s="872">
        <f t="shared" si="242"/>
        <v>267.69599999999997</v>
      </c>
      <c r="E347" s="872">
        <f t="shared" si="242"/>
        <v>359.52200000000011</v>
      </c>
      <c r="F347" s="872">
        <f t="shared" si="242"/>
        <v>30.480000000000189</v>
      </c>
      <c r="G347" s="871">
        <f t="shared" si="242"/>
        <v>0.93000000000002814</v>
      </c>
      <c r="H347" s="871">
        <f t="shared" si="242"/>
        <v>46.649000000000079</v>
      </c>
      <c r="I347" s="871">
        <f t="shared" si="242"/>
        <v>49.491000000000064</v>
      </c>
      <c r="J347" s="871">
        <f t="shared" si="242"/>
        <v>74.003999999999095</v>
      </c>
      <c r="K347" s="872">
        <f t="shared" si="242"/>
        <v>171.07399999999998</v>
      </c>
      <c r="L347" s="871">
        <f t="shared" si="242"/>
        <v>88.943999999999917</v>
      </c>
      <c r="M347" s="871">
        <f t="shared" si="242"/>
        <v>117.37199999999996</v>
      </c>
      <c r="N347" s="871">
        <f t="shared" si="242"/>
        <v>97.537000000000035</v>
      </c>
      <c r="O347" s="871">
        <f t="shared" si="242"/>
        <v>45.515999999999707</v>
      </c>
      <c r="P347" s="872">
        <f t="shared" si="242"/>
        <v>349.36899999999969</v>
      </c>
      <c r="Q347" s="871">
        <f t="shared" si="242"/>
        <v>38.425999999999796</v>
      </c>
      <c r="R347" s="871">
        <f t="shared" si="242"/>
        <v>40.489999999999981</v>
      </c>
      <c r="S347" s="871">
        <f t="shared" si="242"/>
        <v>42.237999999999907</v>
      </c>
      <c r="T347" s="871">
        <f t="shared" si="242"/>
        <v>20.731000000000783</v>
      </c>
      <c r="U347" s="872">
        <f t="shared" si="242"/>
        <v>141.8850000000007</v>
      </c>
      <c r="V347" s="871">
        <f t="shared" si="242"/>
        <v>39.879000000000147</v>
      </c>
      <c r="W347" s="871">
        <f t="shared" si="242"/>
        <v>51.232000000000234</v>
      </c>
      <c r="X347" s="871">
        <f t="shared" si="242"/>
        <v>79.127000000000052</v>
      </c>
      <c r="Y347" s="870">
        <f t="shared" si="242"/>
        <v>90.268999999999295</v>
      </c>
      <c r="Z347" s="869">
        <f t="shared" si="242"/>
        <v>260.50699999999966</v>
      </c>
      <c r="AA347" s="871">
        <f t="shared" si="242"/>
        <v>223.79200000000026</v>
      </c>
      <c r="AB347" s="871">
        <f t="shared" si="242"/>
        <v>13.962000000000018</v>
      </c>
      <c r="AC347" s="871">
        <f t="shared" si="242"/>
        <v>116.23699999999985</v>
      </c>
      <c r="AD347" s="870">
        <f t="shared" si="242"/>
        <v>131.32999999999984</v>
      </c>
      <c r="AE347" s="869">
        <f t="shared" si="242"/>
        <v>485.32099999999969</v>
      </c>
      <c r="AF347" s="871">
        <f t="shared" si="242"/>
        <v>299.6160000000001</v>
      </c>
      <c r="AG347" s="871">
        <f t="shared" si="242"/>
        <v>428.63599999999997</v>
      </c>
      <c r="AH347" s="871">
        <f t="shared" si="242"/>
        <v>378.80999999999972</v>
      </c>
      <c r="AI347" s="870">
        <f t="shared" ref="AI347:AQ347" si="243">SUM(AI343:AI346)</f>
        <v>119.39600000000007</v>
      </c>
      <c r="AJ347" s="869">
        <f t="shared" si="243"/>
        <v>1226.4579999999996</v>
      </c>
      <c r="AK347" s="871">
        <f t="shared" si="243"/>
        <v>399.65900000000028</v>
      </c>
      <c r="AL347" s="871">
        <f t="shared" si="243"/>
        <v>500.91599999999983</v>
      </c>
      <c r="AM347" s="871">
        <f t="shared" si="243"/>
        <v>1012.3229999999999</v>
      </c>
      <c r="AN347" s="870">
        <f t="shared" si="243"/>
        <v>149.33300000000037</v>
      </c>
      <c r="AO347" s="869">
        <f t="shared" si="243"/>
        <v>2062.2310000000007</v>
      </c>
      <c r="AP347" s="871">
        <f t="shared" si="243"/>
        <v>795.86999999999989</v>
      </c>
      <c r="AQ347" s="871">
        <f t="shared" si="243"/>
        <v>1035.6020000000003</v>
      </c>
      <c r="AR347" s="871">
        <f>SUM(AR343:AR346)</f>
        <v>861.45999999999935</v>
      </c>
      <c r="AS347" s="870">
        <f>SUM(AS343:AS346)</f>
        <v>506.41700000000344</v>
      </c>
      <c r="AT347" s="869">
        <f>SUM(AT343:AT346)</f>
        <v>3199.3490000000011</v>
      </c>
      <c r="AU347" s="871">
        <f t="shared" ref="AU347" si="244">SUM(AU343:AU346)</f>
        <v>2034.5020000000002</v>
      </c>
      <c r="AV347" s="871">
        <f>SUM(AV343:AV346)</f>
        <v>1593.7890000000004</v>
      </c>
      <c r="AW347" s="873">
        <f>SUM(AW343:AW346)</f>
        <v>1660.9589999999996</v>
      </c>
      <c r="AX347" s="870"/>
      <c r="AY347" s="869"/>
      <c r="AZ347" s="870"/>
      <c r="BA347" s="870"/>
      <c r="BB347" s="870"/>
      <c r="BC347" s="870"/>
      <c r="BD347" s="869"/>
      <c r="BE347" s="869"/>
      <c r="BF347" s="869"/>
      <c r="BG347" s="869"/>
      <c r="BH347" s="824"/>
    </row>
    <row r="348" spans="1:60" customFormat="1" hidden="1" outlineLevel="1" x14ac:dyDescent="0.25">
      <c r="A348" s="113" t="s">
        <v>64</v>
      </c>
      <c r="B348" s="441"/>
      <c r="C348" s="886">
        <v>76.331999999999994</v>
      </c>
      <c r="D348" s="886">
        <v>106.843</v>
      </c>
      <c r="E348" s="886">
        <v>133.39599999999999</v>
      </c>
      <c r="F348" s="886">
        <v>13.327999999999999</v>
      </c>
      <c r="G348" s="885">
        <v>-1.7589999999999999</v>
      </c>
      <c r="H348" s="885">
        <v>17.178000000000001</v>
      </c>
      <c r="I348" s="885">
        <v>17.669</v>
      </c>
      <c r="J348" s="885">
        <f>K348-G348-H348-I348</f>
        <v>25.582999999999995</v>
      </c>
      <c r="K348" s="886">
        <v>58.670999999999999</v>
      </c>
      <c r="L348" s="885">
        <v>35.829000000000001</v>
      </c>
      <c r="M348" s="885">
        <v>46.353999999999999</v>
      </c>
      <c r="N348" s="885">
        <v>38.241999999999997</v>
      </c>
      <c r="O348" s="885">
        <f>P348-L348-M348-N348</f>
        <v>-37.855000000000004</v>
      </c>
      <c r="P348" s="886">
        <v>82.57</v>
      </c>
      <c r="Q348" s="885">
        <v>14.73</v>
      </c>
      <c r="R348" s="885">
        <v>14.154999999999999</v>
      </c>
      <c r="S348" s="885">
        <v>12.805999999999999</v>
      </c>
      <c r="T348" s="885">
        <f>U348-Q348-R348-S348</f>
        <v>-22.446999999999999</v>
      </c>
      <c r="U348" s="886">
        <v>19.244</v>
      </c>
      <c r="V348" s="885">
        <v>12.221</v>
      </c>
      <c r="W348" s="885">
        <v>10.477</v>
      </c>
      <c r="X348" s="885">
        <v>27.61</v>
      </c>
      <c r="Y348" s="885">
        <f>Z348-V348-W348-X348</f>
        <v>23.520999999999987</v>
      </c>
      <c r="Z348" s="886">
        <v>73.828999999999994</v>
      </c>
      <c r="AA348" s="885">
        <v>45.57</v>
      </c>
      <c r="AB348" s="885">
        <v>-51.637999999999998</v>
      </c>
      <c r="AC348" s="885">
        <v>-13.353</v>
      </c>
      <c r="AD348" s="885">
        <f>AE348-AA348-AB348-AC348</f>
        <v>-54.186999999999991</v>
      </c>
      <c r="AE348" s="886">
        <v>-73.608000000000004</v>
      </c>
      <c r="AF348" s="885">
        <v>9.4920000000000009</v>
      </c>
      <c r="AG348" s="885">
        <v>44.286999999999999</v>
      </c>
      <c r="AH348" s="885">
        <v>-24.024999999999999</v>
      </c>
      <c r="AI348" s="885">
        <v>-14.538</v>
      </c>
      <c r="AJ348" s="886">
        <v>15.215999999999999</v>
      </c>
      <c r="AK348" s="885">
        <v>55.606999999999999</v>
      </c>
      <c r="AL348" s="885">
        <v>230.26599999999999</v>
      </c>
      <c r="AM348" s="885">
        <v>347.07900000000001</v>
      </c>
      <c r="AN348" s="885">
        <f>AO348-SUM(AK348,AL348,AM348)</f>
        <v>-437.637</v>
      </c>
      <c r="AO348" s="886">
        <v>195.315</v>
      </c>
      <c r="AP348" s="885">
        <v>86.802999999999997</v>
      </c>
      <c r="AQ348" s="885">
        <v>315.40600000000001</v>
      </c>
      <c r="AR348" s="885">
        <v>71.483999999999995</v>
      </c>
      <c r="AS348" s="885">
        <f>AT348-SUM(AP348,AQ348,AR348)</f>
        <v>-35.738999999999976</v>
      </c>
      <c r="AT348" s="886">
        <v>437.95400000000001</v>
      </c>
      <c r="AU348" s="885">
        <v>327.78699999999998</v>
      </c>
      <c r="AV348" s="885">
        <v>240.77600000000001</v>
      </c>
      <c r="AW348" s="891">
        <v>211.88800000000001</v>
      </c>
      <c r="AX348" s="882"/>
      <c r="AY348" s="881"/>
      <c r="AZ348" s="882"/>
      <c r="BA348" s="882"/>
      <c r="BB348" s="882"/>
      <c r="BC348" s="882"/>
      <c r="BD348" s="881"/>
      <c r="BE348" s="881"/>
      <c r="BF348" s="881"/>
      <c r="BG348" s="881"/>
      <c r="BH348" s="821"/>
    </row>
    <row r="349" spans="1:60" customFormat="1" hidden="1" outlineLevel="1" x14ac:dyDescent="0.25">
      <c r="A349" s="69" t="s">
        <v>65</v>
      </c>
      <c r="B349" s="507"/>
      <c r="C349" s="892">
        <f t="shared" ref="C349:AH349" si="245">C347-C348</f>
        <v>115.86000000000004</v>
      </c>
      <c r="D349" s="892">
        <f t="shared" si="245"/>
        <v>160.85299999999995</v>
      </c>
      <c r="E349" s="892">
        <f t="shared" si="245"/>
        <v>226.12600000000012</v>
      </c>
      <c r="F349" s="892">
        <f t="shared" si="245"/>
        <v>17.152000000000189</v>
      </c>
      <c r="G349" s="893">
        <f t="shared" si="245"/>
        <v>2.689000000000028</v>
      </c>
      <c r="H349" s="893">
        <f t="shared" si="245"/>
        <v>29.471000000000078</v>
      </c>
      <c r="I349" s="893">
        <f t="shared" si="245"/>
        <v>31.822000000000063</v>
      </c>
      <c r="J349" s="893">
        <f t="shared" si="245"/>
        <v>48.420999999999097</v>
      </c>
      <c r="K349" s="892">
        <f t="shared" si="245"/>
        <v>112.40299999999999</v>
      </c>
      <c r="L349" s="893">
        <f t="shared" si="245"/>
        <v>53.114999999999917</v>
      </c>
      <c r="M349" s="893">
        <f t="shared" si="245"/>
        <v>71.017999999999958</v>
      </c>
      <c r="N349" s="893">
        <f t="shared" si="245"/>
        <v>59.295000000000037</v>
      </c>
      <c r="O349" s="893">
        <f t="shared" si="245"/>
        <v>83.370999999999711</v>
      </c>
      <c r="P349" s="892">
        <f t="shared" si="245"/>
        <v>266.79899999999969</v>
      </c>
      <c r="Q349" s="893">
        <f t="shared" si="245"/>
        <v>23.695999999999795</v>
      </c>
      <c r="R349" s="893">
        <f t="shared" si="245"/>
        <v>26.33499999999998</v>
      </c>
      <c r="S349" s="893">
        <f t="shared" si="245"/>
        <v>29.43199999999991</v>
      </c>
      <c r="T349" s="893">
        <f t="shared" si="245"/>
        <v>43.178000000000779</v>
      </c>
      <c r="U349" s="892">
        <f t="shared" si="245"/>
        <v>122.6410000000007</v>
      </c>
      <c r="V349" s="893">
        <f t="shared" si="245"/>
        <v>27.658000000000147</v>
      </c>
      <c r="W349" s="893">
        <f t="shared" si="245"/>
        <v>40.755000000000237</v>
      </c>
      <c r="X349" s="893">
        <f t="shared" si="245"/>
        <v>51.517000000000053</v>
      </c>
      <c r="Y349" s="894">
        <f t="shared" si="245"/>
        <v>66.747999999999308</v>
      </c>
      <c r="Z349" s="895">
        <f t="shared" si="245"/>
        <v>186.67799999999966</v>
      </c>
      <c r="AA349" s="893">
        <f t="shared" si="245"/>
        <v>178.22200000000026</v>
      </c>
      <c r="AB349" s="893">
        <f t="shared" si="245"/>
        <v>65.600000000000023</v>
      </c>
      <c r="AC349" s="893">
        <f t="shared" si="245"/>
        <v>129.58999999999986</v>
      </c>
      <c r="AD349" s="894">
        <f t="shared" si="245"/>
        <v>185.51699999999983</v>
      </c>
      <c r="AE349" s="895">
        <f t="shared" si="245"/>
        <v>558.92899999999963</v>
      </c>
      <c r="AF349" s="893">
        <f t="shared" si="245"/>
        <v>290.12400000000008</v>
      </c>
      <c r="AG349" s="893">
        <f t="shared" si="245"/>
        <v>384.34899999999999</v>
      </c>
      <c r="AH349" s="893">
        <f t="shared" si="245"/>
        <v>402.8349999999997</v>
      </c>
      <c r="AI349" s="894">
        <f t="shared" ref="AI349:AQ349" si="246">AI347-AI348</f>
        <v>133.93400000000008</v>
      </c>
      <c r="AJ349" s="895">
        <f t="shared" si="246"/>
        <v>1211.2419999999997</v>
      </c>
      <c r="AK349" s="893">
        <f t="shared" si="246"/>
        <v>344.05200000000025</v>
      </c>
      <c r="AL349" s="893">
        <f t="shared" si="246"/>
        <v>270.64999999999986</v>
      </c>
      <c r="AM349" s="893">
        <f t="shared" si="246"/>
        <v>665.24399999999991</v>
      </c>
      <c r="AN349" s="894">
        <f t="shared" si="246"/>
        <v>586.97000000000037</v>
      </c>
      <c r="AO349" s="895">
        <f t="shared" si="246"/>
        <v>1866.9160000000006</v>
      </c>
      <c r="AP349" s="893">
        <f t="shared" si="246"/>
        <v>709.06699999999989</v>
      </c>
      <c r="AQ349" s="893">
        <f t="shared" si="246"/>
        <v>720.19600000000037</v>
      </c>
      <c r="AR349" s="893">
        <f>AR347-AR348</f>
        <v>789.97599999999932</v>
      </c>
      <c r="AS349" s="894">
        <f>AS347-AS348</f>
        <v>542.15600000000336</v>
      </c>
      <c r="AT349" s="895">
        <f>AT347-AT348</f>
        <v>2761.3950000000009</v>
      </c>
      <c r="AU349" s="893">
        <f t="shared" ref="AU349" si="247">AU347-AU348</f>
        <v>1706.7150000000001</v>
      </c>
      <c r="AV349" s="893">
        <f>AV347-AV348</f>
        <v>1353.0130000000004</v>
      </c>
      <c r="AW349" s="896">
        <f>AW347-AW348</f>
        <v>1449.0709999999997</v>
      </c>
      <c r="AX349" s="894"/>
      <c r="AY349" s="895"/>
      <c r="AZ349" s="894"/>
      <c r="BA349" s="894"/>
      <c r="BB349" s="894"/>
      <c r="BC349" s="894"/>
      <c r="BD349" s="895"/>
      <c r="BE349" s="895"/>
      <c r="BF349" s="895"/>
      <c r="BG349" s="895"/>
      <c r="BH349" s="824"/>
    </row>
    <row r="350" spans="1:60" customFormat="1" hidden="1" outlineLevel="1" x14ac:dyDescent="0.25">
      <c r="A350" s="508"/>
      <c r="B350" s="504"/>
      <c r="C350" s="897"/>
      <c r="D350" s="897"/>
      <c r="E350" s="897"/>
      <c r="F350" s="897"/>
      <c r="G350" s="898"/>
      <c r="H350" s="898"/>
      <c r="I350" s="898"/>
      <c r="J350" s="898"/>
      <c r="K350" s="897"/>
      <c r="L350" s="898"/>
      <c r="M350" s="898"/>
      <c r="N350" s="898"/>
      <c r="O350" s="898"/>
      <c r="P350" s="897"/>
      <c r="Q350" s="898"/>
      <c r="R350" s="898"/>
      <c r="S350" s="898"/>
      <c r="T350" s="898"/>
      <c r="U350" s="897"/>
      <c r="V350" s="898"/>
      <c r="W350" s="898"/>
      <c r="X350" s="898"/>
      <c r="Y350" s="898"/>
      <c r="Z350" s="897"/>
      <c r="AA350" s="898"/>
      <c r="AB350" s="898"/>
      <c r="AC350" s="898"/>
      <c r="AD350" s="898"/>
      <c r="AE350" s="897"/>
      <c r="AF350" s="898"/>
      <c r="AG350" s="898"/>
      <c r="AH350" s="898"/>
      <c r="AI350" s="898"/>
      <c r="AJ350" s="897"/>
      <c r="AK350" s="898"/>
      <c r="AL350" s="898"/>
      <c r="AM350" s="898"/>
      <c r="AN350" s="898"/>
      <c r="AO350" s="897"/>
      <c r="AP350" s="898"/>
      <c r="AQ350" s="898"/>
      <c r="AR350" s="898"/>
      <c r="AS350" s="898"/>
      <c r="AT350" s="897"/>
      <c r="AU350" s="898"/>
      <c r="AV350" s="898"/>
      <c r="AW350" s="899"/>
      <c r="AX350" s="898"/>
      <c r="AY350" s="897"/>
      <c r="AZ350" s="898"/>
      <c r="BA350" s="898"/>
      <c r="BB350" s="898"/>
      <c r="BC350" s="898"/>
      <c r="BD350" s="897"/>
      <c r="BE350" s="897"/>
      <c r="BF350" s="897"/>
      <c r="BG350" s="897"/>
      <c r="BH350" s="821"/>
    </row>
    <row r="351" spans="1:60" customFormat="1" hidden="1" outlineLevel="1" x14ac:dyDescent="0.25">
      <c r="A351" s="106" t="s">
        <v>66</v>
      </c>
      <c r="B351" s="106"/>
      <c r="C351" s="942">
        <f t="shared" ref="C351:AH351" si="248">IF(ISBLANK(INDEX(MO_IS_FirstRow,0,COLUMN())),0,ROUND(C349-C555,6))</f>
        <v>0</v>
      </c>
      <c r="D351" s="942">
        <f t="shared" si="248"/>
        <v>0</v>
      </c>
      <c r="E351" s="942">
        <f t="shared" si="248"/>
        <v>0</v>
      </c>
      <c r="F351" s="942">
        <f t="shared" si="248"/>
        <v>0</v>
      </c>
      <c r="G351" s="942">
        <f t="shared" si="248"/>
        <v>0</v>
      </c>
      <c r="H351" s="942">
        <f t="shared" si="248"/>
        <v>0</v>
      </c>
      <c r="I351" s="942">
        <f t="shared" si="248"/>
        <v>0</v>
      </c>
      <c r="J351" s="942">
        <f t="shared" si="248"/>
        <v>0</v>
      </c>
      <c r="K351" s="942">
        <f t="shared" si="248"/>
        <v>0</v>
      </c>
      <c r="L351" s="942">
        <f t="shared" si="248"/>
        <v>0</v>
      </c>
      <c r="M351" s="942">
        <f t="shared" si="248"/>
        <v>0</v>
      </c>
      <c r="N351" s="942">
        <f t="shared" si="248"/>
        <v>0</v>
      </c>
      <c r="O351" s="942">
        <f t="shared" si="248"/>
        <v>0</v>
      </c>
      <c r="P351" s="942">
        <f t="shared" si="248"/>
        <v>0</v>
      </c>
      <c r="Q351" s="942">
        <f t="shared" si="248"/>
        <v>0</v>
      </c>
      <c r="R351" s="942">
        <f t="shared" si="248"/>
        <v>0</v>
      </c>
      <c r="S351" s="942">
        <f t="shared" si="248"/>
        <v>0</v>
      </c>
      <c r="T351" s="942">
        <f t="shared" si="248"/>
        <v>0</v>
      </c>
      <c r="U351" s="942">
        <f t="shared" si="248"/>
        <v>0</v>
      </c>
      <c r="V351" s="942">
        <f t="shared" si="248"/>
        <v>0</v>
      </c>
      <c r="W351" s="942">
        <f t="shared" si="248"/>
        <v>0</v>
      </c>
      <c r="X351" s="942">
        <f t="shared" si="248"/>
        <v>0</v>
      </c>
      <c r="Y351" s="942">
        <f t="shared" si="248"/>
        <v>0</v>
      </c>
      <c r="Z351" s="942">
        <f t="shared" si="248"/>
        <v>0</v>
      </c>
      <c r="AA351" s="942">
        <f t="shared" si="248"/>
        <v>0</v>
      </c>
      <c r="AB351" s="942">
        <f t="shared" si="248"/>
        <v>0</v>
      </c>
      <c r="AC351" s="942">
        <f t="shared" si="248"/>
        <v>0</v>
      </c>
      <c r="AD351" s="942">
        <f t="shared" si="248"/>
        <v>0</v>
      </c>
      <c r="AE351" s="942">
        <f t="shared" si="248"/>
        <v>0</v>
      </c>
      <c r="AF351" s="942">
        <f t="shared" si="248"/>
        <v>0</v>
      </c>
      <c r="AG351" s="942">
        <f t="shared" si="248"/>
        <v>0</v>
      </c>
      <c r="AH351" s="942">
        <f t="shared" si="248"/>
        <v>0</v>
      </c>
      <c r="AI351" s="942">
        <f t="shared" ref="AI351:BG351" si="249">IF(ISBLANK(INDEX(MO_IS_FirstRow,0,COLUMN())),0,ROUND(AI349-AI555,6))</f>
        <v>0</v>
      </c>
      <c r="AJ351" s="942">
        <f t="shared" si="249"/>
        <v>0</v>
      </c>
      <c r="AK351" s="942">
        <f t="shared" si="249"/>
        <v>0</v>
      </c>
      <c r="AL351" s="942">
        <f t="shared" si="249"/>
        <v>0</v>
      </c>
      <c r="AM351" s="942">
        <f t="shared" si="249"/>
        <v>0</v>
      </c>
      <c r="AN351" s="942">
        <f t="shared" si="249"/>
        <v>0</v>
      </c>
      <c r="AO351" s="942">
        <f t="shared" si="249"/>
        <v>0</v>
      </c>
      <c r="AP351" s="942">
        <f t="shared" si="249"/>
        <v>0</v>
      </c>
      <c r="AQ351" s="942">
        <f t="shared" si="249"/>
        <v>0</v>
      </c>
      <c r="AR351" s="942">
        <f t="shared" si="249"/>
        <v>0</v>
      </c>
      <c r="AS351" s="942">
        <f t="shared" si="249"/>
        <v>0</v>
      </c>
      <c r="AT351" s="942">
        <f t="shared" si="249"/>
        <v>0</v>
      </c>
      <c r="AU351" s="942">
        <f t="shared" si="249"/>
        <v>0</v>
      </c>
      <c r="AV351" s="942">
        <f t="shared" si="249"/>
        <v>0</v>
      </c>
      <c r="AW351" s="943">
        <f t="shared" si="249"/>
        <v>0</v>
      </c>
      <c r="AX351" s="942">
        <f t="shared" si="249"/>
        <v>0</v>
      </c>
      <c r="AY351" s="942">
        <f t="shared" si="249"/>
        <v>0</v>
      </c>
      <c r="AZ351" s="942">
        <f t="shared" si="249"/>
        <v>0</v>
      </c>
      <c r="BA351" s="942">
        <f t="shared" si="249"/>
        <v>0</v>
      </c>
      <c r="BB351" s="942">
        <f t="shared" si="249"/>
        <v>0</v>
      </c>
      <c r="BC351" s="942">
        <f t="shared" si="249"/>
        <v>0</v>
      </c>
      <c r="BD351" s="942">
        <f t="shared" si="249"/>
        <v>0</v>
      </c>
      <c r="BE351" s="942">
        <f t="shared" si="249"/>
        <v>0</v>
      </c>
      <c r="BF351" s="942">
        <f t="shared" si="249"/>
        <v>0</v>
      </c>
      <c r="BG351" s="942">
        <f t="shared" si="249"/>
        <v>0</v>
      </c>
      <c r="BH351" s="821"/>
    </row>
    <row r="352" spans="1:60" customFormat="1" collapsed="1" x14ac:dyDescent="0.25">
      <c r="A352" s="178"/>
      <c r="B352" s="289"/>
      <c r="C352" s="864"/>
      <c r="D352" s="864"/>
      <c r="E352" s="864"/>
      <c r="F352" s="864"/>
      <c r="G352" s="867"/>
      <c r="H352" s="867"/>
      <c r="I352" s="867"/>
      <c r="J352" s="867"/>
      <c r="K352" s="864"/>
      <c r="L352" s="867"/>
      <c r="M352" s="867"/>
      <c r="N352" s="867"/>
      <c r="O352" s="867"/>
      <c r="P352" s="864"/>
      <c r="Q352" s="867"/>
      <c r="R352" s="867"/>
      <c r="S352" s="867"/>
      <c r="T352" s="867"/>
      <c r="U352" s="864"/>
      <c r="V352" s="867"/>
      <c r="W352" s="867"/>
      <c r="X352" s="867"/>
      <c r="Y352" s="867"/>
      <c r="Z352" s="864"/>
      <c r="AA352" s="867"/>
      <c r="AB352" s="867"/>
      <c r="AC352" s="867"/>
      <c r="AD352" s="867"/>
      <c r="AE352" s="864"/>
      <c r="AF352" s="867"/>
      <c r="AG352" s="867"/>
      <c r="AH352" s="867"/>
      <c r="AI352" s="867"/>
      <c r="AJ352" s="864"/>
      <c r="AK352" s="867"/>
      <c r="AL352" s="867"/>
      <c r="AM352" s="867"/>
      <c r="AN352" s="867"/>
      <c r="AO352" s="864"/>
      <c r="AP352" s="867"/>
      <c r="AQ352" s="867"/>
      <c r="AR352" s="867"/>
      <c r="AS352" s="867"/>
      <c r="AT352" s="864"/>
      <c r="AU352" s="867"/>
      <c r="AV352" s="867"/>
      <c r="AW352" s="868"/>
      <c r="AX352" s="867"/>
      <c r="AY352" s="864"/>
      <c r="AZ352" s="867"/>
      <c r="BA352" s="867"/>
      <c r="BB352" s="867"/>
      <c r="BC352" s="867"/>
      <c r="BD352" s="864"/>
      <c r="BE352" s="864"/>
      <c r="BF352" s="864"/>
      <c r="BG352" s="864"/>
      <c r="BH352" s="821"/>
    </row>
    <row r="353" spans="1:60" customFormat="1" x14ac:dyDescent="0.25">
      <c r="A353" s="819" t="s">
        <v>67</v>
      </c>
      <c r="B353" s="819"/>
      <c r="C353" s="861"/>
      <c r="D353" s="861"/>
      <c r="E353" s="861"/>
      <c r="F353" s="861"/>
      <c r="G353" s="861"/>
      <c r="H353" s="861"/>
      <c r="I353" s="861"/>
      <c r="J353" s="861"/>
      <c r="K353" s="861"/>
      <c r="L353" s="861"/>
      <c r="M353" s="861"/>
      <c r="N353" s="861"/>
      <c r="O353" s="861"/>
      <c r="P353" s="861"/>
      <c r="Q353" s="861"/>
      <c r="R353" s="861"/>
      <c r="S353" s="861"/>
      <c r="T353" s="861"/>
      <c r="U353" s="861"/>
      <c r="V353" s="861"/>
      <c r="W353" s="861"/>
      <c r="X353" s="861"/>
      <c r="Y353" s="861"/>
      <c r="Z353" s="861"/>
      <c r="AA353" s="861"/>
      <c r="AB353" s="861"/>
      <c r="AC353" s="861"/>
      <c r="AD353" s="861"/>
      <c r="AE353" s="861"/>
      <c r="AF353" s="861"/>
      <c r="AG353" s="861"/>
      <c r="AH353" s="861"/>
      <c r="AI353" s="861"/>
      <c r="AJ353" s="861"/>
      <c r="AK353" s="861"/>
      <c r="AL353" s="861"/>
      <c r="AM353" s="861"/>
      <c r="AN353" s="861"/>
      <c r="AO353" s="861"/>
      <c r="AP353" s="861"/>
      <c r="AQ353" s="861"/>
      <c r="AR353" s="861"/>
      <c r="AS353" s="861"/>
      <c r="AT353" s="861"/>
      <c r="AU353" s="861"/>
      <c r="AV353" s="861"/>
      <c r="AW353" s="862"/>
      <c r="AX353" s="861"/>
      <c r="AY353" s="861"/>
      <c r="AZ353" s="861"/>
      <c r="BA353" s="861"/>
      <c r="BB353" s="861"/>
      <c r="BC353" s="861"/>
      <c r="BD353" s="861"/>
      <c r="BE353" s="861"/>
      <c r="BF353" s="861"/>
      <c r="BG353" s="861"/>
      <c r="BH353" s="824"/>
    </row>
    <row r="354" spans="1:60" customFormat="1" hidden="1" outlineLevel="1" x14ac:dyDescent="0.25">
      <c r="A354" s="63" t="s">
        <v>68</v>
      </c>
      <c r="B354" s="423"/>
      <c r="C354" s="874"/>
      <c r="D354" s="874"/>
      <c r="E354" s="874"/>
      <c r="F354" s="874"/>
      <c r="G354" s="879"/>
      <c r="H354" s="879"/>
      <c r="I354" s="879"/>
      <c r="J354" s="879"/>
      <c r="K354" s="874"/>
      <c r="L354" s="879">
        <f t="shared" ref="L354:AQ354" si="250">L349</f>
        <v>53.114999999999917</v>
      </c>
      <c r="M354" s="876">
        <f t="shared" si="250"/>
        <v>71.017999999999958</v>
      </c>
      <c r="N354" s="876">
        <f t="shared" si="250"/>
        <v>59.295000000000037</v>
      </c>
      <c r="O354" s="876">
        <f t="shared" si="250"/>
        <v>83.370999999999711</v>
      </c>
      <c r="P354" s="875">
        <f t="shared" si="250"/>
        <v>266.79899999999969</v>
      </c>
      <c r="Q354" s="876">
        <f t="shared" si="250"/>
        <v>23.695999999999795</v>
      </c>
      <c r="R354" s="876">
        <f t="shared" si="250"/>
        <v>26.33499999999998</v>
      </c>
      <c r="S354" s="876">
        <f t="shared" si="250"/>
        <v>29.43199999999991</v>
      </c>
      <c r="T354" s="876">
        <f t="shared" si="250"/>
        <v>43.178000000000779</v>
      </c>
      <c r="U354" s="875">
        <f t="shared" si="250"/>
        <v>122.6410000000007</v>
      </c>
      <c r="V354" s="876">
        <f t="shared" si="250"/>
        <v>27.658000000000147</v>
      </c>
      <c r="W354" s="876">
        <f t="shared" si="250"/>
        <v>40.755000000000237</v>
      </c>
      <c r="X354" s="876">
        <f t="shared" si="250"/>
        <v>51.517000000000053</v>
      </c>
      <c r="Y354" s="876">
        <f t="shared" si="250"/>
        <v>66.747999999999308</v>
      </c>
      <c r="Z354" s="875">
        <f t="shared" si="250"/>
        <v>186.67799999999966</v>
      </c>
      <c r="AA354" s="876">
        <f t="shared" si="250"/>
        <v>178.22200000000026</v>
      </c>
      <c r="AB354" s="876">
        <f t="shared" si="250"/>
        <v>65.600000000000023</v>
      </c>
      <c r="AC354" s="876">
        <f t="shared" si="250"/>
        <v>129.58999999999986</v>
      </c>
      <c r="AD354" s="876">
        <f t="shared" si="250"/>
        <v>185.51699999999983</v>
      </c>
      <c r="AE354" s="875">
        <f t="shared" si="250"/>
        <v>558.92899999999963</v>
      </c>
      <c r="AF354" s="876">
        <f t="shared" si="250"/>
        <v>290.12400000000008</v>
      </c>
      <c r="AG354" s="876">
        <f t="shared" si="250"/>
        <v>384.34899999999999</v>
      </c>
      <c r="AH354" s="876">
        <f t="shared" si="250"/>
        <v>402.8349999999997</v>
      </c>
      <c r="AI354" s="876">
        <f t="shared" si="250"/>
        <v>133.93400000000008</v>
      </c>
      <c r="AJ354" s="875">
        <f t="shared" si="250"/>
        <v>1211.2419999999997</v>
      </c>
      <c r="AK354" s="876">
        <f t="shared" si="250"/>
        <v>344.05200000000025</v>
      </c>
      <c r="AL354" s="876">
        <f t="shared" si="250"/>
        <v>270.64999999999986</v>
      </c>
      <c r="AM354" s="876">
        <f t="shared" si="250"/>
        <v>665.24399999999991</v>
      </c>
      <c r="AN354" s="876">
        <f t="shared" si="250"/>
        <v>586.97000000000037</v>
      </c>
      <c r="AO354" s="875">
        <f t="shared" si="250"/>
        <v>1866.9160000000006</v>
      </c>
      <c r="AP354" s="876">
        <f t="shared" si="250"/>
        <v>709.06699999999989</v>
      </c>
      <c r="AQ354" s="876">
        <f t="shared" si="250"/>
        <v>720.19600000000037</v>
      </c>
      <c r="AR354" s="876">
        <f>AR349</f>
        <v>789.97599999999932</v>
      </c>
      <c r="AS354" s="876">
        <f>AS349</f>
        <v>542.15600000000336</v>
      </c>
      <c r="AT354" s="875">
        <f>AT349</f>
        <v>2761.3950000000009</v>
      </c>
      <c r="AU354" s="876">
        <f t="shared" ref="AU354" si="251">AU349</f>
        <v>1706.7150000000001</v>
      </c>
      <c r="AV354" s="876">
        <f>AV349</f>
        <v>1353.0130000000004</v>
      </c>
      <c r="AW354" s="877">
        <f>AW349</f>
        <v>1449.0709999999997</v>
      </c>
      <c r="AX354" s="879"/>
      <c r="AY354" s="874"/>
      <c r="AZ354" s="879"/>
      <c r="BA354" s="879"/>
      <c r="BB354" s="879"/>
      <c r="BC354" s="879"/>
      <c r="BD354" s="874"/>
      <c r="BE354" s="874"/>
      <c r="BF354" s="874"/>
      <c r="BG354" s="874"/>
      <c r="BH354" s="824"/>
    </row>
    <row r="355" spans="1:60" customFormat="1" hidden="1" outlineLevel="1" x14ac:dyDescent="0.25">
      <c r="A355" s="367" t="s">
        <v>69</v>
      </c>
      <c r="B355" s="289"/>
      <c r="C355" s="864"/>
      <c r="D355" s="864"/>
      <c r="E355" s="864"/>
      <c r="F355" s="864"/>
      <c r="G355" s="867"/>
      <c r="H355" s="867"/>
      <c r="I355" s="867"/>
      <c r="J355" s="867"/>
      <c r="K355" s="864"/>
      <c r="L355" s="867">
        <f>-(L344+L345)</f>
        <v>8.6509999999999998</v>
      </c>
      <c r="M355" s="866">
        <v>12.228</v>
      </c>
      <c r="N355" s="866">
        <v>12.87</v>
      </c>
      <c r="O355" s="866">
        <v>19.53</v>
      </c>
      <c r="P355" s="865">
        <f>SUM(L355,M355,N355,O355)</f>
        <v>53.278999999999996</v>
      </c>
      <c r="Q355" s="866">
        <v>59.03</v>
      </c>
      <c r="R355" s="866">
        <v>34.344999999999999</v>
      </c>
      <c r="S355" s="866">
        <v>31.402999999999999</v>
      </c>
      <c r="T355" s="866">
        <v>39.162999999999997</v>
      </c>
      <c r="U355" s="865">
        <f>SUM(Q355,R355,S355,T355)</f>
        <v>163.94099999999997</v>
      </c>
      <c r="V355" s="866">
        <v>9.5739999999999998</v>
      </c>
      <c r="W355" s="866">
        <v>19.138000000000002</v>
      </c>
      <c r="X355" s="866">
        <v>26.908999999999999</v>
      </c>
      <c r="Y355" s="866">
        <v>63.664999999999999</v>
      </c>
      <c r="Z355" s="865">
        <f>SUM(V355,W355,X355,Y355)</f>
        <v>119.286</v>
      </c>
      <c r="AA355" s="866">
        <v>33.15</v>
      </c>
      <c r="AB355" s="866">
        <v>113.845</v>
      </c>
      <c r="AC355" s="866">
        <v>92.39</v>
      </c>
      <c r="AD355" s="866">
        <v>113.973</v>
      </c>
      <c r="AE355" s="865">
        <f>SUM(AA355,AB355,AC355,AD355)</f>
        <v>353.358</v>
      </c>
      <c r="AF355" s="866">
        <v>146.96199999999999</v>
      </c>
      <c r="AG355" s="866">
        <v>33.576999999999998</v>
      </c>
      <c r="AH355" s="866">
        <v>101.858</v>
      </c>
      <c r="AI355" s="866">
        <v>96.370999999999995</v>
      </c>
      <c r="AJ355" s="865">
        <f>SUM(AF355,AG355,AH355,AI355)</f>
        <v>378.76799999999997</v>
      </c>
      <c r="AK355" s="866">
        <v>59.424999999999997</v>
      </c>
      <c r="AL355" s="866">
        <v>205.50299999999999</v>
      </c>
      <c r="AM355" s="866">
        <v>-32.084000000000003</v>
      </c>
      <c r="AN355" s="866">
        <v>309.17899999999997</v>
      </c>
      <c r="AO355" s="865">
        <f>SUM(AK355,AL355,AM355,AN355)</f>
        <v>542.02299999999991</v>
      </c>
      <c r="AP355" s="866">
        <v>162.386</v>
      </c>
      <c r="AQ355" s="866">
        <v>322.32600000000002</v>
      </c>
      <c r="AR355" s="866">
        <v>453.40300000000002</v>
      </c>
      <c r="AS355" s="866">
        <f>-SUM(AS344:AS345)</f>
        <v>447.82499999999993</v>
      </c>
      <c r="AT355" s="865">
        <f>SUM(AP355,AQ355,AR355,AS355)</f>
        <v>1385.94</v>
      </c>
      <c r="AU355" s="866">
        <f>-SUM(AU344:AU345)</f>
        <v>-74.646000000000015</v>
      </c>
      <c r="AV355" s="866">
        <f>-SUM(AV344:AV345)</f>
        <v>253.84100000000001</v>
      </c>
      <c r="AW355" s="878">
        <f>-SUM(AW344:AW345)</f>
        <v>94.293999999999997</v>
      </c>
      <c r="AX355" s="867"/>
      <c r="AY355" s="864"/>
      <c r="AZ355" s="867"/>
      <c r="BA355" s="867"/>
      <c r="BB355" s="867"/>
      <c r="BC355" s="867"/>
      <c r="BD355" s="864"/>
      <c r="BE355" s="864"/>
      <c r="BF355" s="864"/>
      <c r="BG355" s="864"/>
      <c r="BH355" s="821"/>
    </row>
    <row r="356" spans="1:60" customFormat="1" hidden="1" outlineLevel="1" x14ac:dyDescent="0.25">
      <c r="A356" s="367" t="s">
        <v>70</v>
      </c>
      <c r="B356" s="289"/>
      <c r="C356" s="864"/>
      <c r="D356" s="864"/>
      <c r="E356" s="864"/>
      <c r="F356" s="864"/>
      <c r="G356" s="867"/>
      <c r="H356" s="867"/>
      <c r="I356" s="867"/>
      <c r="J356" s="867"/>
      <c r="K356" s="864"/>
      <c r="L356" s="867">
        <f>L348</f>
        <v>35.829000000000001</v>
      </c>
      <c r="M356" s="866">
        <v>46.353999999999999</v>
      </c>
      <c r="N356" s="866">
        <v>38.241999999999997</v>
      </c>
      <c r="O356" s="866">
        <v>-37.854999999999997</v>
      </c>
      <c r="P356" s="865">
        <f>SUM(L356,M356,N356,O356)</f>
        <v>82.57</v>
      </c>
      <c r="Q356" s="866">
        <v>14.73</v>
      </c>
      <c r="R356" s="866">
        <v>14.154999999999999</v>
      </c>
      <c r="S356" s="866">
        <v>12.805999999999999</v>
      </c>
      <c r="T356" s="866">
        <v>-22.446999999999999</v>
      </c>
      <c r="U356" s="865">
        <f>SUM(Q356,R356,S356,T356)</f>
        <v>19.243999999999996</v>
      </c>
      <c r="V356" s="866">
        <v>12.221</v>
      </c>
      <c r="W356" s="866">
        <v>10.477</v>
      </c>
      <c r="X356" s="866">
        <v>27.61</v>
      </c>
      <c r="Y356" s="866">
        <v>23.521000000000001</v>
      </c>
      <c r="Z356" s="865">
        <f>SUM(V356,W356,X356,Y356)</f>
        <v>73.829000000000008</v>
      </c>
      <c r="AA356" s="866">
        <v>45.57</v>
      </c>
      <c r="AB356" s="866">
        <v>-51.637999999999998</v>
      </c>
      <c r="AC356" s="866">
        <v>-13.353</v>
      </c>
      <c r="AD356" s="866">
        <v>-54.186999999999998</v>
      </c>
      <c r="AE356" s="865">
        <f>SUM(AA356,AB356,AC356,AD356)</f>
        <v>-73.608000000000004</v>
      </c>
      <c r="AF356" s="866">
        <v>9.4920000000000009</v>
      </c>
      <c r="AG356" s="866">
        <v>44.286999999999999</v>
      </c>
      <c r="AH356" s="866">
        <v>-24.024999999999999</v>
      </c>
      <c r="AI356" s="866">
        <v>-14.538</v>
      </c>
      <c r="AJ356" s="865">
        <f>SUM(AF356,AG356,AH356,AI356)</f>
        <v>15.215999999999998</v>
      </c>
      <c r="AK356" s="866">
        <v>55.606999999999999</v>
      </c>
      <c r="AL356" s="866">
        <v>230.26599999999999</v>
      </c>
      <c r="AM356" s="866">
        <v>347.07900000000001</v>
      </c>
      <c r="AN356" s="866">
        <v>-437.637</v>
      </c>
      <c r="AO356" s="865">
        <f>SUM(AK356,AL356,AM356,AN356)</f>
        <v>195.315</v>
      </c>
      <c r="AP356" s="866">
        <v>86.802999999999997</v>
      </c>
      <c r="AQ356" s="866">
        <v>315.40600000000001</v>
      </c>
      <c r="AR356" s="866">
        <v>71.483999999999995</v>
      </c>
      <c r="AS356" s="866">
        <f>AS348</f>
        <v>-35.738999999999976</v>
      </c>
      <c r="AT356" s="865">
        <f>SUM(AP356,AQ356,AR356,AS356)</f>
        <v>437.95400000000001</v>
      </c>
      <c r="AU356" s="866">
        <f>AU348</f>
        <v>327.78699999999998</v>
      </c>
      <c r="AV356" s="866">
        <f>AV348</f>
        <v>240.77600000000001</v>
      </c>
      <c r="AW356" s="878">
        <f>AW348</f>
        <v>211.88800000000001</v>
      </c>
      <c r="AX356" s="867"/>
      <c r="AY356" s="864"/>
      <c r="AZ356" s="867"/>
      <c r="BA356" s="867"/>
      <c r="BB356" s="867"/>
      <c r="BC356" s="867"/>
      <c r="BD356" s="864"/>
      <c r="BE356" s="864"/>
      <c r="BF356" s="864"/>
      <c r="BG356" s="864"/>
      <c r="BH356" s="821"/>
    </row>
    <row r="357" spans="1:60" customFormat="1" hidden="1" outlineLevel="1" x14ac:dyDescent="0.25">
      <c r="A357" s="367" t="s">
        <v>71</v>
      </c>
      <c r="B357" s="289"/>
      <c r="C357" s="864"/>
      <c r="D357" s="864"/>
      <c r="E357" s="864"/>
      <c r="F357" s="864"/>
      <c r="G357" s="867"/>
      <c r="H357" s="867"/>
      <c r="I357" s="867"/>
      <c r="J357" s="867"/>
      <c r="K357" s="864"/>
      <c r="L357" s="867">
        <f t="shared" ref="L357:L358" si="252">L560</f>
        <v>12.382</v>
      </c>
      <c r="M357" s="866">
        <v>12.977</v>
      </c>
      <c r="N357" s="866">
        <v>14.356999999999999</v>
      </c>
      <c r="O357" s="866">
        <v>14.311999999999999</v>
      </c>
      <c r="P357" s="865">
        <f>SUM(L357,M357,N357,O357)</f>
        <v>54.027999999999999</v>
      </c>
      <c r="Q357" s="866">
        <v>15.167</v>
      </c>
      <c r="R357" s="866">
        <v>15.581</v>
      </c>
      <c r="S357" s="866">
        <v>16.047000000000001</v>
      </c>
      <c r="T357" s="866">
        <v>15.488</v>
      </c>
      <c r="U357" s="865">
        <f>SUM(Q357,R357,S357,T357)</f>
        <v>62.283000000000001</v>
      </c>
      <c r="V357" s="866">
        <v>14.798</v>
      </c>
      <c r="W357" s="866">
        <v>14.131</v>
      </c>
      <c r="X357" s="866">
        <v>14.41</v>
      </c>
      <c r="Y357" s="866">
        <v>14.189</v>
      </c>
      <c r="Z357" s="865">
        <f>SUM(V357,W357,X357,Y357)</f>
        <v>57.527999999999999</v>
      </c>
      <c r="AA357" s="866">
        <v>15.048999999999999</v>
      </c>
      <c r="AB357" s="866">
        <v>18.550999999999998</v>
      </c>
      <c r="AC357" s="866">
        <v>19.238</v>
      </c>
      <c r="AD357" s="866">
        <v>19.073</v>
      </c>
      <c r="AE357" s="865">
        <f>SUM(AA357,AB357,AC357,AD357)</f>
        <v>71.911000000000001</v>
      </c>
      <c r="AF357" s="866">
        <v>19.041</v>
      </c>
      <c r="AG357" s="866">
        <v>19.736000000000001</v>
      </c>
      <c r="AH357" s="866">
        <v>21.161000000000001</v>
      </c>
      <c r="AI357" s="866">
        <v>23.219000000000001</v>
      </c>
      <c r="AJ357" s="865">
        <f>SUM(AF357,AG357,AH357,AI357)</f>
        <v>83.157000000000011</v>
      </c>
      <c r="AK357" s="866">
        <v>23.561</v>
      </c>
      <c r="AL357" s="866">
        <v>25.495999999999999</v>
      </c>
      <c r="AM357" s="866">
        <v>26.704000000000001</v>
      </c>
      <c r="AN357" s="866">
        <v>27.818000000000001</v>
      </c>
      <c r="AO357" s="865">
        <f>SUM(AK357,AL357,AM357,AN357)</f>
        <v>103.57899999999999</v>
      </c>
      <c r="AP357" s="866">
        <v>28.516999999999999</v>
      </c>
      <c r="AQ357" s="866">
        <v>26.661000000000001</v>
      </c>
      <c r="AR357" s="866">
        <v>28.588999999999999</v>
      </c>
      <c r="AS357" s="866">
        <f>AS560</f>
        <v>31.942999999999998</v>
      </c>
      <c r="AT357" s="865">
        <f>SUM(AP357,AQ357,AR357,AS357)</f>
        <v>115.71</v>
      </c>
      <c r="AU357" s="866">
        <f t="shared" ref="AU357:AW358" si="253">AU560</f>
        <v>35.741</v>
      </c>
      <c r="AV357" s="866">
        <f t="shared" si="253"/>
        <v>38.433999999999997</v>
      </c>
      <c r="AW357" s="878">
        <f t="shared" si="253"/>
        <v>70.253</v>
      </c>
      <c r="AX357" s="867"/>
      <c r="AY357" s="864"/>
      <c r="AZ357" s="867"/>
      <c r="BA357" s="867"/>
      <c r="BB357" s="867"/>
      <c r="BC357" s="867"/>
      <c r="BD357" s="864"/>
      <c r="BE357" s="864"/>
      <c r="BF357" s="864"/>
      <c r="BG357" s="864"/>
      <c r="BH357" s="821"/>
    </row>
    <row r="358" spans="1:60" customFormat="1" hidden="1" outlineLevel="1" x14ac:dyDescent="0.25">
      <c r="A358" s="113" t="s">
        <v>72</v>
      </c>
      <c r="B358" s="441"/>
      <c r="C358" s="881"/>
      <c r="D358" s="881"/>
      <c r="E358" s="881"/>
      <c r="F358" s="881"/>
      <c r="G358" s="882"/>
      <c r="H358" s="882"/>
      <c r="I358" s="882"/>
      <c r="J358" s="882"/>
      <c r="K358" s="881"/>
      <c r="L358" s="882">
        <f t="shared" si="252"/>
        <v>25.824999999999999</v>
      </c>
      <c r="M358" s="885">
        <v>29.285</v>
      </c>
      <c r="N358" s="885">
        <v>29.878</v>
      </c>
      <c r="O358" s="885">
        <v>30.251000000000001</v>
      </c>
      <c r="P358" s="886">
        <f>SUM(L358,M358,N358,O358)</f>
        <v>115.239</v>
      </c>
      <c r="Q358" s="885">
        <v>27.440999999999999</v>
      </c>
      <c r="R358" s="885">
        <v>28.59</v>
      </c>
      <c r="S358" s="885">
        <v>32.834000000000003</v>
      </c>
      <c r="T358" s="885">
        <v>35.86</v>
      </c>
      <c r="U358" s="886">
        <f>SUM(Q358,R358,S358,T358)</f>
        <v>124.72500000000001</v>
      </c>
      <c r="V358" s="885">
        <v>42.421999999999997</v>
      </c>
      <c r="W358" s="885">
        <v>44.112000000000002</v>
      </c>
      <c r="X358" s="885">
        <v>43.494999999999997</v>
      </c>
      <c r="Y358" s="885">
        <v>43.646000000000001</v>
      </c>
      <c r="Z358" s="886">
        <f>SUM(V358,W358,X358,Y358)</f>
        <v>173.67500000000001</v>
      </c>
      <c r="AA358" s="885">
        <v>44.887999999999998</v>
      </c>
      <c r="AB358" s="885">
        <v>44.027999999999999</v>
      </c>
      <c r="AC358" s="885">
        <v>44.762999999999998</v>
      </c>
      <c r="AD358" s="885">
        <v>48.53</v>
      </c>
      <c r="AE358" s="886">
        <f>SUM(AA358,AB358,AC358,AD358)</f>
        <v>182.209</v>
      </c>
      <c r="AF358" s="885">
        <v>68.394999999999996</v>
      </c>
      <c r="AG358" s="885">
        <v>81.231999999999999</v>
      </c>
      <c r="AH358" s="885">
        <v>82.316000000000003</v>
      </c>
      <c r="AI358" s="885">
        <v>88.713999999999999</v>
      </c>
      <c r="AJ358" s="886">
        <f>SUM(AF358,AG358,AH358,AI358)</f>
        <v>320.65700000000004</v>
      </c>
      <c r="AK358" s="885">
        <v>101.2</v>
      </c>
      <c r="AL358" s="885">
        <v>103.848</v>
      </c>
      <c r="AM358" s="885">
        <v>100.262</v>
      </c>
      <c r="AN358" s="885">
        <v>100.066</v>
      </c>
      <c r="AO358" s="886">
        <f>SUM(AK358,AL358,AM358,AN358)</f>
        <v>405.37599999999998</v>
      </c>
      <c r="AP358" s="885">
        <v>97.019000000000005</v>
      </c>
      <c r="AQ358" s="885">
        <v>104.21</v>
      </c>
      <c r="AR358" s="885">
        <v>106.357</v>
      </c>
      <c r="AS358" s="885">
        <f>AS561</f>
        <v>107.59399999999999</v>
      </c>
      <c r="AT358" s="886">
        <f>SUM(AP358,AQ358,AR358,AS358)</f>
        <v>415.18</v>
      </c>
      <c r="AU358" s="885">
        <f t="shared" si="253"/>
        <v>107.23</v>
      </c>
      <c r="AV358" s="885">
        <f t="shared" si="253"/>
        <v>101.58299999999998</v>
      </c>
      <c r="AW358" s="891">
        <f t="shared" si="253"/>
        <v>95.078000000000031</v>
      </c>
      <c r="AX358" s="882"/>
      <c r="AY358" s="881"/>
      <c r="AZ358" s="882"/>
      <c r="BA358" s="882"/>
      <c r="BB358" s="882"/>
      <c r="BC358" s="882"/>
      <c r="BD358" s="881"/>
      <c r="BE358" s="881"/>
      <c r="BF358" s="881"/>
      <c r="BG358" s="881"/>
      <c r="BH358" s="821"/>
    </row>
    <row r="359" spans="1:60" customFormat="1" hidden="1" outlineLevel="1" x14ac:dyDescent="0.25">
      <c r="A359" s="61" t="s">
        <v>73</v>
      </c>
      <c r="B359" s="505"/>
      <c r="C359" s="869"/>
      <c r="D359" s="869"/>
      <c r="E359" s="869"/>
      <c r="F359" s="869"/>
      <c r="G359" s="870"/>
      <c r="H359" s="870"/>
      <c r="I359" s="870"/>
      <c r="J359" s="870"/>
      <c r="K359" s="869"/>
      <c r="L359" s="870">
        <f t="shared" ref="L359:AQ359" si="254">SUM(L354:L358)</f>
        <v>135.80199999999991</v>
      </c>
      <c r="M359" s="871">
        <f t="shared" si="254"/>
        <v>171.86199999999997</v>
      </c>
      <c r="N359" s="871">
        <f t="shared" si="254"/>
        <v>154.64200000000005</v>
      </c>
      <c r="O359" s="871">
        <f t="shared" si="254"/>
        <v>109.60899999999971</v>
      </c>
      <c r="P359" s="872">
        <f t="shared" si="254"/>
        <v>571.91499999999974</v>
      </c>
      <c r="Q359" s="871">
        <f t="shared" si="254"/>
        <v>140.06399999999979</v>
      </c>
      <c r="R359" s="871">
        <f t="shared" si="254"/>
        <v>119.00599999999999</v>
      </c>
      <c r="S359" s="871">
        <f t="shared" si="254"/>
        <v>122.52199999999991</v>
      </c>
      <c r="T359" s="871">
        <f t="shared" si="254"/>
        <v>111.24200000000077</v>
      </c>
      <c r="U359" s="872">
        <f t="shared" si="254"/>
        <v>492.83400000000069</v>
      </c>
      <c r="V359" s="871">
        <f t="shared" si="254"/>
        <v>106.67300000000014</v>
      </c>
      <c r="W359" s="871">
        <f t="shared" si="254"/>
        <v>128.61300000000026</v>
      </c>
      <c r="X359" s="871">
        <f t="shared" si="254"/>
        <v>163.94100000000003</v>
      </c>
      <c r="Y359" s="870">
        <f t="shared" si="254"/>
        <v>211.76899999999927</v>
      </c>
      <c r="Z359" s="869">
        <f t="shared" si="254"/>
        <v>610.99599999999964</v>
      </c>
      <c r="AA359" s="871">
        <f t="shared" si="254"/>
        <v>316.87900000000025</v>
      </c>
      <c r="AB359" s="871">
        <f t="shared" si="254"/>
        <v>190.386</v>
      </c>
      <c r="AC359" s="871">
        <f t="shared" si="254"/>
        <v>272.62799999999982</v>
      </c>
      <c r="AD359" s="870">
        <f t="shared" si="254"/>
        <v>312.90599999999984</v>
      </c>
      <c r="AE359" s="869">
        <f t="shared" si="254"/>
        <v>1092.7989999999998</v>
      </c>
      <c r="AF359" s="871">
        <f t="shared" si="254"/>
        <v>534.01400000000012</v>
      </c>
      <c r="AG359" s="871">
        <f t="shared" si="254"/>
        <v>563.18099999999993</v>
      </c>
      <c r="AH359" s="871">
        <f t="shared" si="254"/>
        <v>584.14499999999975</v>
      </c>
      <c r="AI359" s="870">
        <f t="shared" si="254"/>
        <v>327.70000000000005</v>
      </c>
      <c r="AJ359" s="869">
        <f t="shared" si="254"/>
        <v>2009.0399999999995</v>
      </c>
      <c r="AK359" s="871">
        <f t="shared" si="254"/>
        <v>583.84500000000025</v>
      </c>
      <c r="AL359" s="871">
        <f t="shared" si="254"/>
        <v>835.76299999999981</v>
      </c>
      <c r="AM359" s="871">
        <f t="shared" si="254"/>
        <v>1107.2049999999997</v>
      </c>
      <c r="AN359" s="870">
        <f t="shared" si="254"/>
        <v>586.3960000000003</v>
      </c>
      <c r="AO359" s="869">
        <f t="shared" si="254"/>
        <v>3113.2090000000007</v>
      </c>
      <c r="AP359" s="871">
        <f t="shared" si="254"/>
        <v>1083.7919999999999</v>
      </c>
      <c r="AQ359" s="871">
        <f t="shared" si="254"/>
        <v>1488.7990000000004</v>
      </c>
      <c r="AR359" s="871">
        <f>SUM(AR354:AR358)</f>
        <v>1449.8089999999993</v>
      </c>
      <c r="AS359" s="870">
        <f>SUM(AS354:AS358)</f>
        <v>1093.7790000000034</v>
      </c>
      <c r="AT359" s="869">
        <f>SUM(AT354:AT358)</f>
        <v>5116.179000000001</v>
      </c>
      <c r="AU359" s="871">
        <f t="shared" ref="AU359" si="255">SUM(AU354:AU358)</f>
        <v>2102.8270000000002</v>
      </c>
      <c r="AV359" s="871">
        <f>SUM(AV354:AV358)</f>
        <v>1987.6470000000004</v>
      </c>
      <c r="AW359" s="873">
        <f>SUM(AW354:AW358)</f>
        <v>1920.5839999999996</v>
      </c>
      <c r="AX359" s="870"/>
      <c r="AY359" s="869"/>
      <c r="AZ359" s="870"/>
      <c r="BA359" s="870"/>
      <c r="BB359" s="870"/>
      <c r="BC359" s="870"/>
      <c r="BD359" s="869"/>
      <c r="BE359" s="869"/>
      <c r="BF359" s="869"/>
      <c r="BG359" s="869"/>
      <c r="BH359" s="824"/>
    </row>
    <row r="360" spans="1:60" customFormat="1" hidden="1" outlineLevel="1" x14ac:dyDescent="0.25">
      <c r="A360" s="178"/>
      <c r="B360" s="289"/>
      <c r="C360" s="864"/>
      <c r="D360" s="864"/>
      <c r="E360" s="864"/>
      <c r="F360" s="864"/>
      <c r="G360" s="867"/>
      <c r="H360" s="867"/>
      <c r="I360" s="867"/>
      <c r="J360" s="867"/>
      <c r="K360" s="864"/>
      <c r="L360" s="867"/>
      <c r="M360" s="867"/>
      <c r="N360" s="867"/>
      <c r="O360" s="867"/>
      <c r="P360" s="864"/>
      <c r="Q360" s="867"/>
      <c r="R360" s="867"/>
      <c r="S360" s="867"/>
      <c r="T360" s="867"/>
      <c r="U360" s="864"/>
      <c r="V360" s="867"/>
      <c r="W360" s="867"/>
      <c r="X360" s="867"/>
      <c r="Y360" s="867"/>
      <c r="Z360" s="864"/>
      <c r="AA360" s="867"/>
      <c r="AB360" s="867"/>
      <c r="AC360" s="867"/>
      <c r="AD360" s="867"/>
      <c r="AE360" s="864"/>
      <c r="AF360" s="867"/>
      <c r="AG360" s="867"/>
      <c r="AH360" s="867"/>
      <c r="AI360" s="867"/>
      <c r="AJ360" s="864"/>
      <c r="AK360" s="867"/>
      <c r="AL360" s="867"/>
      <c r="AM360" s="867"/>
      <c r="AN360" s="867"/>
      <c r="AO360" s="864"/>
      <c r="AP360" s="867"/>
      <c r="AQ360" s="867"/>
      <c r="AR360" s="867"/>
      <c r="AS360" s="867"/>
      <c r="AT360" s="864"/>
      <c r="AU360" s="867"/>
      <c r="AV360" s="867"/>
      <c r="AW360" s="868"/>
      <c r="AX360" s="867"/>
      <c r="AY360" s="864"/>
      <c r="AZ360" s="867"/>
      <c r="BA360" s="867"/>
      <c r="BB360" s="867"/>
      <c r="BC360" s="867"/>
      <c r="BD360" s="864"/>
      <c r="BE360" s="864"/>
      <c r="BF360" s="864"/>
      <c r="BG360" s="864"/>
      <c r="BH360" s="821"/>
    </row>
    <row r="361" spans="1:60" s="57" customFormat="1" hidden="1" outlineLevel="1" x14ac:dyDescent="0.25">
      <c r="A361" s="63" t="s">
        <v>506</v>
      </c>
      <c r="B361" s="423"/>
      <c r="C361" s="875">
        <f t="shared" ref="C361:AQ361" si="256">C575</f>
        <v>325.06299999999993</v>
      </c>
      <c r="D361" s="875">
        <f t="shared" si="256"/>
        <v>276.40100000000001</v>
      </c>
      <c r="E361" s="875">
        <f t="shared" si="256"/>
        <v>317.71200000000022</v>
      </c>
      <c r="F361" s="875">
        <f t="shared" si="256"/>
        <v>21.586000000000197</v>
      </c>
      <c r="G361" s="876">
        <f t="shared" si="256"/>
        <v>-12.25000000000002</v>
      </c>
      <c r="H361" s="876">
        <f t="shared" si="256"/>
        <v>33.94300000000004</v>
      </c>
      <c r="I361" s="876">
        <f t="shared" si="256"/>
        <v>34.693000000000168</v>
      </c>
      <c r="J361" s="876">
        <f t="shared" si="256"/>
        <v>41.445000000000185</v>
      </c>
      <c r="K361" s="875">
        <f t="shared" si="256"/>
        <v>97.83100000000006</v>
      </c>
      <c r="L361" s="876">
        <f t="shared" si="256"/>
        <v>36.359000000000052</v>
      </c>
      <c r="M361" s="876">
        <f t="shared" si="256"/>
        <v>56.024000000000015</v>
      </c>
      <c r="N361" s="876">
        <f t="shared" si="256"/>
        <v>-37.439000000000128</v>
      </c>
      <c r="O361" s="876">
        <f t="shared" si="256"/>
        <v>-38.460999999999672</v>
      </c>
      <c r="P361" s="875">
        <f t="shared" si="256"/>
        <v>16.483000000000125</v>
      </c>
      <c r="Q361" s="876">
        <f t="shared" si="256"/>
        <v>-127.38199999999996</v>
      </c>
      <c r="R361" s="876">
        <f t="shared" si="256"/>
        <v>-181.34299999999999</v>
      </c>
      <c r="S361" s="876">
        <f t="shared" si="256"/>
        <v>-195.96899999999997</v>
      </c>
      <c r="T361" s="876">
        <f t="shared" si="256"/>
        <v>-244.74499999999995</v>
      </c>
      <c r="U361" s="875">
        <f t="shared" si="256"/>
        <v>-749.43899999999985</v>
      </c>
      <c r="V361" s="876">
        <f t="shared" si="256"/>
        <v>-228.5900000000004</v>
      </c>
      <c r="W361" s="876">
        <f t="shared" si="256"/>
        <v>-226.29299999999927</v>
      </c>
      <c r="X361" s="876">
        <f t="shared" si="256"/>
        <v>-461.94100000000049</v>
      </c>
      <c r="Y361" s="879">
        <f t="shared" si="256"/>
        <v>-557.16000000000054</v>
      </c>
      <c r="Z361" s="874">
        <f t="shared" si="256"/>
        <v>-1473.9840000000011</v>
      </c>
      <c r="AA361" s="876">
        <f t="shared" si="256"/>
        <v>-343.85599999999988</v>
      </c>
      <c r="AB361" s="876">
        <f t="shared" si="256"/>
        <v>-534.5280000000007</v>
      </c>
      <c r="AC361" s="876">
        <f t="shared" si="256"/>
        <v>-419.60699999999974</v>
      </c>
      <c r="AD361" s="879">
        <f t="shared" si="256"/>
        <v>-487.95700000000062</v>
      </c>
      <c r="AE361" s="874">
        <f t="shared" si="256"/>
        <v>-1785.9480000000012</v>
      </c>
      <c r="AF361" s="876">
        <f t="shared" si="256"/>
        <v>-236.75699999999927</v>
      </c>
      <c r="AG361" s="876">
        <f t="shared" si="256"/>
        <v>-518.23900000000003</v>
      </c>
      <c r="AH361" s="876">
        <f t="shared" si="256"/>
        <v>-690.41099999999994</v>
      </c>
      <c r="AI361" s="879">
        <f t="shared" si="256"/>
        <v>-1235.0720000000003</v>
      </c>
      <c r="AJ361" s="874">
        <f t="shared" si="256"/>
        <v>-2680.4790000000007</v>
      </c>
      <c r="AK361" s="876">
        <f t="shared" si="256"/>
        <v>-379.79899999999969</v>
      </c>
      <c r="AL361" s="876">
        <f t="shared" si="256"/>
        <v>-543.7540000000007</v>
      </c>
      <c r="AM361" s="876">
        <f t="shared" si="256"/>
        <v>-501.79399999999896</v>
      </c>
      <c r="AN361" s="879">
        <f t="shared" si="256"/>
        <v>-1461.9750000000022</v>
      </c>
      <c r="AO361" s="874">
        <f t="shared" si="256"/>
        <v>-2887.3220000000028</v>
      </c>
      <c r="AP361" s="876">
        <f t="shared" si="256"/>
        <v>259.91200000000026</v>
      </c>
      <c r="AQ361" s="876">
        <f t="shared" si="256"/>
        <v>1041.076</v>
      </c>
      <c r="AR361" s="876">
        <f>AR575</f>
        <v>1263.7610000000009</v>
      </c>
      <c r="AS361" s="879">
        <f>AS575</f>
        <v>-137.67200000000065</v>
      </c>
      <c r="AT361" s="874">
        <f>AT575</f>
        <v>2427.0769999999998</v>
      </c>
      <c r="AU361" s="876">
        <f t="shared" ref="AU361" si="257">AU575</f>
        <v>777.26599999999974</v>
      </c>
      <c r="AV361" s="876">
        <f>AV575</f>
        <v>-63.761000000000266</v>
      </c>
      <c r="AW361" s="877">
        <f>AW575</f>
        <v>82.378999999999195</v>
      </c>
      <c r="AX361" s="879"/>
      <c r="AY361" s="874"/>
      <c r="AZ361" s="879"/>
      <c r="BA361" s="879"/>
      <c r="BB361" s="879"/>
      <c r="BC361" s="879"/>
      <c r="BD361" s="874"/>
      <c r="BE361" s="874"/>
      <c r="BF361" s="874"/>
      <c r="BG361" s="874"/>
      <c r="BH361" s="821"/>
    </row>
    <row r="362" spans="1:60" s="57" customFormat="1" hidden="1" outlineLevel="1" x14ac:dyDescent="0.25">
      <c r="A362" s="367" t="s">
        <v>509</v>
      </c>
      <c r="B362" s="289"/>
      <c r="C362" s="865">
        <f t="shared" ref="C362:AM362" si="258">C578</f>
        <v>-193.04400000000001</v>
      </c>
      <c r="D362" s="865">
        <f t="shared" si="258"/>
        <v>-123.901</v>
      </c>
      <c r="E362" s="865">
        <f t="shared" si="258"/>
        <v>-85.153999999999996</v>
      </c>
      <c r="F362" s="865">
        <f t="shared" si="258"/>
        <v>-48.274999999999999</v>
      </c>
      <c r="G362" s="866">
        <f t="shared" si="258"/>
        <v>-21.193000000000001</v>
      </c>
      <c r="H362" s="866">
        <f t="shared" si="258"/>
        <v>-14.023</v>
      </c>
      <c r="I362" s="866">
        <f t="shared" si="258"/>
        <v>-15.470999999999997</v>
      </c>
      <c r="J362" s="866">
        <f t="shared" si="258"/>
        <v>-15.240000000000009</v>
      </c>
      <c r="K362" s="865">
        <f t="shared" si="258"/>
        <v>-65.927000000000007</v>
      </c>
      <c r="L362" s="866">
        <f t="shared" si="258"/>
        <v>-14.914</v>
      </c>
      <c r="M362" s="866">
        <f t="shared" si="258"/>
        <v>-20.981000000000002</v>
      </c>
      <c r="N362" s="866">
        <f t="shared" si="258"/>
        <v>-15.529999999999994</v>
      </c>
      <c r="O362" s="866">
        <f t="shared" si="258"/>
        <v>-23.365000000000009</v>
      </c>
      <c r="P362" s="865">
        <f t="shared" si="258"/>
        <v>-74.790000000000006</v>
      </c>
      <c r="Q362" s="866">
        <f t="shared" si="258"/>
        <v>-22.905999999999999</v>
      </c>
      <c r="R362" s="866">
        <f t="shared" si="258"/>
        <v>-19.786000000000001</v>
      </c>
      <c r="S362" s="866">
        <f t="shared" si="258"/>
        <v>-14.466999999999999</v>
      </c>
      <c r="T362" s="866">
        <f t="shared" si="258"/>
        <v>-20.798999999999999</v>
      </c>
      <c r="U362" s="865">
        <f t="shared" si="258"/>
        <v>-77.957999999999998</v>
      </c>
      <c r="V362" s="866">
        <f t="shared" si="258"/>
        <v>-23.207000000000001</v>
      </c>
      <c r="W362" s="866">
        <f t="shared" si="258"/>
        <v>-17.923999999999999</v>
      </c>
      <c r="X362" s="866">
        <f t="shared" si="258"/>
        <v>-17.249000000000002</v>
      </c>
      <c r="Y362" s="867">
        <f t="shared" si="258"/>
        <v>-18.797000000000004</v>
      </c>
      <c r="Z362" s="864">
        <f t="shared" si="258"/>
        <v>-77.177000000000007</v>
      </c>
      <c r="AA362" s="866">
        <f t="shared" si="258"/>
        <v>-25.372</v>
      </c>
      <c r="AB362" s="866">
        <f t="shared" si="258"/>
        <v>-7.6240000000000023</v>
      </c>
      <c r="AC362" s="866">
        <f t="shared" si="258"/>
        <v>-10.216999999999999</v>
      </c>
      <c r="AD362" s="867">
        <f t="shared" si="258"/>
        <v>-10.506999999999998</v>
      </c>
      <c r="AE362" s="864">
        <f t="shared" si="258"/>
        <v>-53.72</v>
      </c>
      <c r="AF362" s="866">
        <f t="shared" si="258"/>
        <v>-10.795999999999999</v>
      </c>
      <c r="AG362" s="866">
        <f t="shared" si="258"/>
        <v>-12.552</v>
      </c>
      <c r="AH362" s="866">
        <f t="shared" si="258"/>
        <v>-7.7310000000000016</v>
      </c>
      <c r="AI362" s="867">
        <f t="shared" si="258"/>
        <v>-7.5069999999999979</v>
      </c>
      <c r="AJ362" s="864">
        <f t="shared" si="258"/>
        <v>-38.585999999999999</v>
      </c>
      <c r="AK362" s="866">
        <f t="shared" si="258"/>
        <v>-9.17</v>
      </c>
      <c r="AL362" s="866">
        <f t="shared" si="258"/>
        <v>-7.798</v>
      </c>
      <c r="AM362" s="866">
        <f t="shared" si="258"/>
        <v>-4.6340000000000003</v>
      </c>
      <c r="AN362" s="867">
        <f>AO362-SUM(AK362,AL362,AM362)</f>
        <v>21.602</v>
      </c>
      <c r="AO362" s="864"/>
      <c r="AP362" s="866">
        <v>0</v>
      </c>
      <c r="AQ362" s="866">
        <f>AQ578</f>
        <v>0</v>
      </c>
      <c r="AR362" s="866">
        <f>AR578</f>
        <v>0</v>
      </c>
      <c r="AS362" s="867">
        <f>AT362-SUM(AP362,AQ362,AR362)</f>
        <v>0</v>
      </c>
      <c r="AT362" s="864">
        <v>0</v>
      </c>
      <c r="AU362" s="866">
        <v>0</v>
      </c>
      <c r="AV362" s="866">
        <f>AV578</f>
        <v>0</v>
      </c>
      <c r="AW362" s="878">
        <f>AW578</f>
        <v>0</v>
      </c>
      <c r="AX362" s="867"/>
      <c r="AY362" s="864"/>
      <c r="AZ362" s="867"/>
      <c r="BA362" s="867"/>
      <c r="BB362" s="867"/>
      <c r="BC362" s="867"/>
      <c r="BD362" s="864"/>
      <c r="BE362" s="864"/>
      <c r="BF362" s="864"/>
      <c r="BG362" s="864"/>
      <c r="BH362" s="821"/>
    </row>
    <row r="363" spans="1:60" s="57" customFormat="1" hidden="1" outlineLevel="1" x14ac:dyDescent="0.25">
      <c r="A363" s="367" t="s">
        <v>157</v>
      </c>
      <c r="B363" s="289"/>
      <c r="C363" s="865">
        <f t="shared" ref="C363:AM363" si="259">C579</f>
        <v>-45.932000000000002</v>
      </c>
      <c r="D363" s="865">
        <f t="shared" si="259"/>
        <v>-33.837000000000003</v>
      </c>
      <c r="E363" s="865">
        <f t="shared" si="259"/>
        <v>-49.682000000000002</v>
      </c>
      <c r="F363" s="865">
        <f t="shared" si="259"/>
        <v>-40.277999999999999</v>
      </c>
      <c r="G363" s="866">
        <f t="shared" si="259"/>
        <v>-12.118</v>
      </c>
      <c r="H363" s="866">
        <f t="shared" si="259"/>
        <v>-8.0879999999999992</v>
      </c>
      <c r="I363" s="866">
        <f t="shared" si="259"/>
        <v>-10.827999999999999</v>
      </c>
      <c r="J363" s="866">
        <f t="shared" si="259"/>
        <v>-23.109000000000002</v>
      </c>
      <c r="K363" s="865">
        <f t="shared" si="259"/>
        <v>-54.143000000000001</v>
      </c>
      <c r="L363" s="866">
        <f t="shared" si="259"/>
        <v>-13.334</v>
      </c>
      <c r="M363" s="866">
        <f t="shared" si="259"/>
        <v>-19.869000000000003</v>
      </c>
      <c r="N363" s="866">
        <f t="shared" si="259"/>
        <v>-21.031999999999996</v>
      </c>
      <c r="O363" s="866">
        <f t="shared" si="259"/>
        <v>-15.491</v>
      </c>
      <c r="P363" s="865">
        <f t="shared" si="259"/>
        <v>-69.725999999999999</v>
      </c>
      <c r="Q363" s="866">
        <f t="shared" si="259"/>
        <v>-13.036</v>
      </c>
      <c r="R363" s="866">
        <f t="shared" si="259"/>
        <v>-27.537999999999997</v>
      </c>
      <c r="S363" s="866">
        <f t="shared" si="259"/>
        <v>-37.820000000000007</v>
      </c>
      <c r="T363" s="866">
        <f t="shared" si="259"/>
        <v>-12.853999999999999</v>
      </c>
      <c r="U363" s="865">
        <f t="shared" si="259"/>
        <v>-91.248000000000005</v>
      </c>
      <c r="V363" s="866">
        <f t="shared" si="259"/>
        <v>-8.4250000000000007</v>
      </c>
      <c r="W363" s="866">
        <f t="shared" si="259"/>
        <v>-10.814</v>
      </c>
      <c r="X363" s="866">
        <f t="shared" si="259"/>
        <v>-27.365999999999996</v>
      </c>
      <c r="Y363" s="867">
        <f t="shared" si="259"/>
        <v>-61.048000000000009</v>
      </c>
      <c r="Z363" s="864">
        <f t="shared" si="259"/>
        <v>-107.65300000000001</v>
      </c>
      <c r="AA363" s="866">
        <f t="shared" si="259"/>
        <v>-52.523000000000003</v>
      </c>
      <c r="AB363" s="866">
        <f t="shared" si="259"/>
        <v>-65.230999999999995</v>
      </c>
      <c r="AC363" s="866">
        <f t="shared" si="259"/>
        <v>-33.963000000000008</v>
      </c>
      <c r="AD363" s="867">
        <f t="shared" si="259"/>
        <v>-21.58499999999998</v>
      </c>
      <c r="AE363" s="864">
        <f t="shared" si="259"/>
        <v>-173.30199999999999</v>
      </c>
      <c r="AF363" s="866">
        <f t="shared" si="259"/>
        <v>-37.17</v>
      </c>
      <c r="AG363" s="866">
        <f t="shared" si="259"/>
        <v>-27.322999999999993</v>
      </c>
      <c r="AH363" s="866">
        <f t="shared" si="259"/>
        <v>-39.332999999999998</v>
      </c>
      <c r="AI363" s="867">
        <f t="shared" si="259"/>
        <v>-70.12</v>
      </c>
      <c r="AJ363" s="864">
        <f t="shared" si="259"/>
        <v>-173.946</v>
      </c>
      <c r="AK363" s="866">
        <f t="shared" si="259"/>
        <v>-60.381</v>
      </c>
      <c r="AL363" s="866">
        <f t="shared" si="259"/>
        <v>-39.584000000000003</v>
      </c>
      <c r="AM363" s="866">
        <f t="shared" si="259"/>
        <v>-45.332999999999998</v>
      </c>
      <c r="AN363" s="867">
        <f>AN579</f>
        <v>-107.73699999999999</v>
      </c>
      <c r="AO363" s="864">
        <f>AO579</f>
        <v>-253.035</v>
      </c>
      <c r="AP363" s="866">
        <f>AP579</f>
        <v>-98.015000000000001</v>
      </c>
      <c r="AQ363" s="866">
        <f>AQ579</f>
        <v>-141.74099999999999</v>
      </c>
      <c r="AR363" s="866">
        <f>AR579</f>
        <v>-109.81100000000001</v>
      </c>
      <c r="AS363" s="867">
        <f>AS579</f>
        <v>-148.35599999999999</v>
      </c>
      <c r="AT363" s="864">
        <f>AT579</f>
        <v>-497.923</v>
      </c>
      <c r="AU363" s="866">
        <f>AU579</f>
        <v>-81.001000000000005</v>
      </c>
      <c r="AV363" s="866">
        <f>AV579</f>
        <v>-110.27799999999999</v>
      </c>
      <c r="AW363" s="878">
        <f>AW579</f>
        <v>-167.327</v>
      </c>
      <c r="AX363" s="867"/>
      <c r="AY363" s="864"/>
      <c r="AZ363" s="867"/>
      <c r="BA363" s="867"/>
      <c r="BB363" s="867"/>
      <c r="BC363" s="867"/>
      <c r="BD363" s="864"/>
      <c r="BE363" s="864"/>
      <c r="BF363" s="864"/>
      <c r="BG363" s="864"/>
      <c r="BH363" s="821"/>
    </row>
    <row r="364" spans="1:60" s="57" customFormat="1" hidden="1" outlineLevel="1" x14ac:dyDescent="0.25">
      <c r="A364" s="367" t="s">
        <v>507</v>
      </c>
      <c r="B364" s="289"/>
      <c r="C364" s="865">
        <f>-0.2+11.164+0.071</f>
        <v>11.035</v>
      </c>
      <c r="D364" s="865">
        <v>12.343999999999999</v>
      </c>
      <c r="E364" s="865">
        <v>3.6739999999999999</v>
      </c>
      <c r="F364" s="865">
        <v>8.8160000000000007</v>
      </c>
      <c r="G364" s="866">
        <v>4.05</v>
      </c>
      <c r="H364" s="866">
        <v>1.087</v>
      </c>
      <c r="I364" s="866">
        <v>-1.329</v>
      </c>
      <c r="J364" s="866">
        <f>K364-SUM(G364,H364,I364)</f>
        <v>2.1310000000000002</v>
      </c>
      <c r="K364" s="865">
        <v>5.9390000000000001</v>
      </c>
      <c r="L364" s="866">
        <v>0.29499999999999998</v>
      </c>
      <c r="M364" s="866">
        <v>1.129</v>
      </c>
      <c r="N364" s="866">
        <v>0.34100000000000003</v>
      </c>
      <c r="O364" s="866">
        <f>P364-SUM(L364,M364,N364)</f>
        <v>-0.43099999999999983</v>
      </c>
      <c r="P364" s="865">
        <v>1.3340000000000001</v>
      </c>
      <c r="Q364" s="866">
        <v>0.22500000000000001</v>
      </c>
      <c r="R364" s="866">
        <v>-0.63900000000000001</v>
      </c>
      <c r="S364" s="866">
        <v>-3.76</v>
      </c>
      <c r="T364" s="866">
        <f>U364-SUM(Q364,R364,S364)</f>
        <v>2.2619999999999996</v>
      </c>
      <c r="U364" s="865">
        <v>-1.9119999999999999</v>
      </c>
      <c r="V364" s="866">
        <v>-0.35599999999999998</v>
      </c>
      <c r="W364" s="866">
        <v>0.90700000000000003</v>
      </c>
      <c r="X364" s="866">
        <v>0.125</v>
      </c>
      <c r="Y364" s="867">
        <f>Z364-SUM(V364,W364,X364)</f>
        <v>-1.617</v>
      </c>
      <c r="Z364" s="864">
        <v>-0.94099999999999995</v>
      </c>
      <c r="AA364" s="866">
        <v>-0.76900000000000002</v>
      </c>
      <c r="AB364" s="866">
        <v>-1.0640000000000001</v>
      </c>
      <c r="AC364" s="866">
        <v>-1.107</v>
      </c>
      <c r="AD364" s="867">
        <f>AE364-SUM(AA364,AB364,AC364)</f>
        <v>-3.7489999999999997</v>
      </c>
      <c r="AE364" s="864">
        <v>-6.6890000000000001</v>
      </c>
      <c r="AF364" s="866">
        <v>-1.786</v>
      </c>
      <c r="AG364" s="866">
        <v>-0.441</v>
      </c>
      <c r="AH364" s="866">
        <v>-121.63</v>
      </c>
      <c r="AI364" s="867">
        <f>AJ364-SUM(AF364,AG364,AH364)</f>
        <v>-41.317000000000007</v>
      </c>
      <c r="AJ364" s="864">
        <v>-165.17400000000001</v>
      </c>
      <c r="AK364" s="866">
        <v>-10.552</v>
      </c>
      <c r="AL364" s="866">
        <v>-2.6539999999999999</v>
      </c>
      <c r="AM364" s="866">
        <v>0.61299999999999999</v>
      </c>
      <c r="AN364" s="867">
        <f>AO364-SUM(AK364,AL364,AM364)</f>
        <v>-121.43599999999999</v>
      </c>
      <c r="AO364" s="864">
        <v>-134.029</v>
      </c>
      <c r="AP364" s="866">
        <f>AP583</f>
        <v>-0.28799999999999998</v>
      </c>
      <c r="AQ364" s="866">
        <f t="shared" ref="AQ364:AR364" si="260">AQ583</f>
        <v>-0.26000000000000006</v>
      </c>
      <c r="AR364" s="866">
        <f t="shared" si="260"/>
        <v>-8.84</v>
      </c>
      <c r="AS364" s="867">
        <f>AT364-SUM(AP364,AQ364,AR364)</f>
        <v>1.9569999999999999</v>
      </c>
      <c r="AT364" s="864">
        <v>-7.431</v>
      </c>
      <c r="AU364" s="866">
        <f>AU583</f>
        <v>-4.6150000000000002</v>
      </c>
      <c r="AV364" s="866">
        <f>AV583</f>
        <v>-1</v>
      </c>
      <c r="AW364" s="878">
        <f>AW583</f>
        <v>-21.304000000000002</v>
      </c>
      <c r="AX364" s="867"/>
      <c r="AY364" s="864"/>
      <c r="AZ364" s="867"/>
      <c r="BA364" s="867"/>
      <c r="BB364" s="867"/>
      <c r="BC364" s="867"/>
      <c r="BD364" s="864"/>
      <c r="BE364" s="864"/>
      <c r="BF364" s="864"/>
      <c r="BG364" s="864"/>
      <c r="BH364" s="821"/>
    </row>
    <row r="365" spans="1:60" s="57" customFormat="1" hidden="1" outlineLevel="1" x14ac:dyDescent="0.25">
      <c r="A365" s="61" t="s">
        <v>508</v>
      </c>
      <c r="B365" s="505"/>
      <c r="C365" s="872">
        <f t="shared" ref="C365:AQ365" si="261">SUM(C361:C364)</f>
        <v>97.121999999999915</v>
      </c>
      <c r="D365" s="872">
        <f t="shared" si="261"/>
        <v>131.00700000000001</v>
      </c>
      <c r="E365" s="872">
        <f t="shared" si="261"/>
        <v>186.55000000000021</v>
      </c>
      <c r="F365" s="872">
        <f t="shared" si="261"/>
        <v>-58.150999999999797</v>
      </c>
      <c r="G365" s="871">
        <f t="shared" si="261"/>
        <v>-41.511000000000024</v>
      </c>
      <c r="H365" s="871">
        <f t="shared" si="261"/>
        <v>12.919000000000041</v>
      </c>
      <c r="I365" s="871">
        <f t="shared" si="261"/>
        <v>7.0650000000001727</v>
      </c>
      <c r="J365" s="871">
        <f t="shared" si="261"/>
        <v>5.2270000000001744</v>
      </c>
      <c r="K365" s="872">
        <f t="shared" si="261"/>
        <v>-16.299999999999947</v>
      </c>
      <c r="L365" s="871">
        <f t="shared" si="261"/>
        <v>8.4060000000000503</v>
      </c>
      <c r="M365" s="871">
        <f t="shared" si="261"/>
        <v>16.303000000000011</v>
      </c>
      <c r="N365" s="871">
        <f t="shared" si="261"/>
        <v>-73.660000000000124</v>
      </c>
      <c r="O365" s="871">
        <f t="shared" si="261"/>
        <v>-77.747999999999678</v>
      </c>
      <c r="P365" s="872">
        <f t="shared" si="261"/>
        <v>-126.69899999999987</v>
      </c>
      <c r="Q365" s="871">
        <f t="shared" si="261"/>
        <v>-163.09899999999996</v>
      </c>
      <c r="R365" s="871">
        <f t="shared" si="261"/>
        <v>-229.30599999999998</v>
      </c>
      <c r="S365" s="871">
        <f t="shared" si="261"/>
        <v>-252.01599999999996</v>
      </c>
      <c r="T365" s="871">
        <f t="shared" si="261"/>
        <v>-276.13599999999991</v>
      </c>
      <c r="U365" s="872">
        <f t="shared" si="261"/>
        <v>-920.5569999999999</v>
      </c>
      <c r="V365" s="871">
        <f t="shared" si="261"/>
        <v>-260.57800000000037</v>
      </c>
      <c r="W365" s="871">
        <f t="shared" si="261"/>
        <v>-254.12399999999926</v>
      </c>
      <c r="X365" s="871">
        <f t="shared" si="261"/>
        <v>-506.43100000000049</v>
      </c>
      <c r="Y365" s="870">
        <f t="shared" si="261"/>
        <v>-638.62200000000053</v>
      </c>
      <c r="Z365" s="869">
        <f t="shared" si="261"/>
        <v>-1659.755000000001</v>
      </c>
      <c r="AA365" s="871">
        <f t="shared" si="261"/>
        <v>-422.51999999999992</v>
      </c>
      <c r="AB365" s="871">
        <f t="shared" si="261"/>
        <v>-608.44700000000068</v>
      </c>
      <c r="AC365" s="871">
        <f t="shared" si="261"/>
        <v>-464.89399999999978</v>
      </c>
      <c r="AD365" s="870">
        <f t="shared" si="261"/>
        <v>-523.79800000000068</v>
      </c>
      <c r="AE365" s="869">
        <f t="shared" si="261"/>
        <v>-2019.6590000000012</v>
      </c>
      <c r="AF365" s="871">
        <f t="shared" si="261"/>
        <v>-286.50899999999928</v>
      </c>
      <c r="AG365" s="871">
        <f t="shared" si="261"/>
        <v>-558.55500000000006</v>
      </c>
      <c r="AH365" s="871">
        <f t="shared" si="261"/>
        <v>-859.1049999999999</v>
      </c>
      <c r="AI365" s="870">
        <f t="shared" si="261"/>
        <v>-1354.0160000000005</v>
      </c>
      <c r="AJ365" s="869">
        <f t="shared" si="261"/>
        <v>-3058.1850000000004</v>
      </c>
      <c r="AK365" s="871">
        <f t="shared" si="261"/>
        <v>-459.9019999999997</v>
      </c>
      <c r="AL365" s="871">
        <f t="shared" si="261"/>
        <v>-593.79000000000065</v>
      </c>
      <c r="AM365" s="871">
        <f t="shared" si="261"/>
        <v>-551.14799999999889</v>
      </c>
      <c r="AN365" s="870">
        <f t="shared" si="261"/>
        <v>-1669.5460000000021</v>
      </c>
      <c r="AO365" s="869">
        <f t="shared" si="261"/>
        <v>-3274.3860000000027</v>
      </c>
      <c r="AP365" s="871">
        <f t="shared" si="261"/>
        <v>161.60900000000026</v>
      </c>
      <c r="AQ365" s="871">
        <f t="shared" si="261"/>
        <v>899.07500000000005</v>
      </c>
      <c r="AR365" s="871">
        <f>SUM(AR361:AR364)</f>
        <v>1145.110000000001</v>
      </c>
      <c r="AS365" s="870">
        <f>SUM(AS361:AS364)</f>
        <v>-284.07100000000065</v>
      </c>
      <c r="AT365" s="869">
        <f>SUM(AT361:AT364)</f>
        <v>1921.7229999999997</v>
      </c>
      <c r="AU365" s="871">
        <f t="shared" ref="AU365" si="262">SUM(AU361:AU364)</f>
        <v>691.64999999999975</v>
      </c>
      <c r="AV365" s="871">
        <f>SUM(AV361:AV364)</f>
        <v>-175.03900000000027</v>
      </c>
      <c r="AW365" s="873">
        <f>SUM(AW361:AW364)</f>
        <v>-106.25200000000081</v>
      </c>
      <c r="AX365" s="870"/>
      <c r="AY365" s="869"/>
      <c r="AZ365" s="870"/>
      <c r="BA365" s="870"/>
      <c r="BB365" s="870"/>
      <c r="BC365" s="870"/>
      <c r="BD365" s="869"/>
      <c r="BE365" s="869"/>
      <c r="BF365" s="869"/>
      <c r="BG365" s="869"/>
      <c r="BH365" s="821"/>
    </row>
    <row r="366" spans="1:60" s="57" customFormat="1" hidden="1" outlineLevel="1" x14ac:dyDescent="0.25">
      <c r="A366" s="494"/>
      <c r="B366" s="423"/>
      <c r="C366" s="874"/>
      <c r="D366" s="874"/>
      <c r="E366" s="874"/>
      <c r="F366" s="874"/>
      <c r="G366" s="879"/>
      <c r="H366" s="879"/>
      <c r="I366" s="879"/>
      <c r="J366" s="879"/>
      <c r="K366" s="874"/>
      <c r="L366" s="879"/>
      <c r="M366" s="879"/>
      <c r="N366" s="879"/>
      <c r="O366" s="879"/>
      <c r="P366" s="874"/>
      <c r="Q366" s="879"/>
      <c r="R366" s="879"/>
      <c r="S366" s="879"/>
      <c r="T366" s="879"/>
      <c r="U366" s="874"/>
      <c r="V366" s="879"/>
      <c r="W366" s="879"/>
      <c r="X366" s="879"/>
      <c r="Y366" s="879"/>
      <c r="Z366" s="874"/>
      <c r="AA366" s="879"/>
      <c r="AB366" s="879"/>
      <c r="AC366" s="879"/>
      <c r="AD366" s="879"/>
      <c r="AE366" s="874"/>
      <c r="AF366" s="879"/>
      <c r="AG366" s="879"/>
      <c r="AH366" s="879"/>
      <c r="AI366" s="879"/>
      <c r="AJ366" s="874"/>
      <c r="AK366" s="879"/>
      <c r="AL366" s="879"/>
      <c r="AM366" s="879"/>
      <c r="AN366" s="879"/>
      <c r="AO366" s="874"/>
      <c r="AP366" s="879"/>
      <c r="AQ366" s="879"/>
      <c r="AR366" s="879"/>
      <c r="AS366" s="879"/>
      <c r="AT366" s="874"/>
      <c r="AU366" s="879"/>
      <c r="AV366" s="879"/>
      <c r="AW366" s="880"/>
      <c r="AX366" s="879"/>
      <c r="AY366" s="874"/>
      <c r="AZ366" s="879"/>
      <c r="BA366" s="879"/>
      <c r="BB366" s="879"/>
      <c r="BC366" s="879"/>
      <c r="BD366" s="874"/>
      <c r="BE366" s="874"/>
      <c r="BF366" s="874"/>
      <c r="BG366" s="874"/>
      <c r="BH366" s="821"/>
    </row>
    <row r="367" spans="1:60" customFormat="1" hidden="1" outlineLevel="1" x14ac:dyDescent="0.25">
      <c r="A367" s="63" t="s">
        <v>68</v>
      </c>
      <c r="B367" s="423"/>
      <c r="C367" s="874"/>
      <c r="D367" s="874"/>
      <c r="E367" s="874"/>
      <c r="F367" s="874"/>
      <c r="G367" s="876">
        <f t="shared" ref="G367:U367" si="263">G349</f>
        <v>2.689000000000028</v>
      </c>
      <c r="H367" s="876">
        <f t="shared" si="263"/>
        <v>29.471000000000078</v>
      </c>
      <c r="I367" s="876">
        <f t="shared" si="263"/>
        <v>31.822000000000063</v>
      </c>
      <c r="J367" s="876">
        <f t="shared" si="263"/>
        <v>48.420999999999097</v>
      </c>
      <c r="K367" s="875">
        <f t="shared" si="263"/>
        <v>112.40299999999999</v>
      </c>
      <c r="L367" s="876">
        <f t="shared" si="263"/>
        <v>53.114999999999917</v>
      </c>
      <c r="M367" s="876">
        <f t="shared" si="263"/>
        <v>71.017999999999958</v>
      </c>
      <c r="N367" s="876">
        <f t="shared" si="263"/>
        <v>59.295000000000037</v>
      </c>
      <c r="O367" s="876">
        <f t="shared" si="263"/>
        <v>83.370999999999711</v>
      </c>
      <c r="P367" s="875">
        <f t="shared" si="263"/>
        <v>266.79899999999969</v>
      </c>
      <c r="Q367" s="876">
        <f t="shared" si="263"/>
        <v>23.695999999999795</v>
      </c>
      <c r="R367" s="876">
        <f t="shared" si="263"/>
        <v>26.33499999999998</v>
      </c>
      <c r="S367" s="876">
        <f t="shared" si="263"/>
        <v>29.43199999999991</v>
      </c>
      <c r="T367" s="876">
        <f t="shared" si="263"/>
        <v>43.178000000000779</v>
      </c>
      <c r="U367" s="875">
        <f t="shared" si="263"/>
        <v>122.6410000000007</v>
      </c>
      <c r="V367" s="879"/>
      <c r="W367" s="879"/>
      <c r="X367" s="879"/>
      <c r="Y367" s="879"/>
      <c r="Z367" s="874"/>
      <c r="AA367" s="879"/>
      <c r="AB367" s="879"/>
      <c r="AC367" s="879"/>
      <c r="AD367" s="879"/>
      <c r="AE367" s="874"/>
      <c r="AF367" s="879"/>
      <c r="AG367" s="879"/>
      <c r="AH367" s="879"/>
      <c r="AI367" s="879"/>
      <c r="AJ367" s="874"/>
      <c r="AK367" s="879"/>
      <c r="AL367" s="879"/>
      <c r="AM367" s="879"/>
      <c r="AN367" s="879"/>
      <c r="AO367" s="874"/>
      <c r="AP367" s="879"/>
      <c r="AQ367" s="879"/>
      <c r="AR367" s="879"/>
      <c r="AS367" s="879"/>
      <c r="AT367" s="874"/>
      <c r="AU367" s="879"/>
      <c r="AV367" s="879"/>
      <c r="AW367" s="880"/>
      <c r="AX367" s="879"/>
      <c r="AY367" s="874"/>
      <c r="AZ367" s="879"/>
      <c r="BA367" s="879"/>
      <c r="BB367" s="879"/>
      <c r="BC367" s="879"/>
      <c r="BD367" s="874"/>
      <c r="BE367" s="874"/>
      <c r="BF367" s="874"/>
      <c r="BG367" s="874"/>
      <c r="BH367" s="824"/>
    </row>
    <row r="368" spans="1:60" customFormat="1" hidden="1" outlineLevel="1" x14ac:dyDescent="0.25">
      <c r="A368" s="367" t="s">
        <v>62</v>
      </c>
      <c r="B368" s="289"/>
      <c r="C368" s="864"/>
      <c r="D368" s="864"/>
      <c r="E368" s="864"/>
      <c r="F368" s="864"/>
      <c r="G368" s="866">
        <v>25.129000000000001</v>
      </c>
      <c r="H368" s="866">
        <v>0</v>
      </c>
      <c r="I368" s="866">
        <v>0</v>
      </c>
      <c r="J368" s="866">
        <v>0</v>
      </c>
      <c r="K368" s="865">
        <f>SUM(G368,H368,I368,J368)</f>
        <v>25.129000000000001</v>
      </c>
      <c r="L368" s="866">
        <v>0</v>
      </c>
      <c r="M368" s="866">
        <v>0</v>
      </c>
      <c r="N368" s="866">
        <v>0</v>
      </c>
      <c r="O368" s="866">
        <v>0</v>
      </c>
      <c r="P368" s="865">
        <f>SUM(L368,M368,N368,O368)</f>
        <v>0</v>
      </c>
      <c r="Q368" s="867"/>
      <c r="R368" s="866">
        <v>0</v>
      </c>
      <c r="S368" s="866">
        <v>0</v>
      </c>
      <c r="T368" s="866">
        <v>0</v>
      </c>
      <c r="U368" s="865">
        <f>SUM(Q368,R368,S368,T368)</f>
        <v>0</v>
      </c>
      <c r="V368" s="867"/>
      <c r="W368" s="867"/>
      <c r="X368" s="867"/>
      <c r="Y368" s="867"/>
      <c r="Z368" s="864"/>
      <c r="AA368" s="867"/>
      <c r="AB368" s="867"/>
      <c r="AC368" s="867"/>
      <c r="AD368" s="867"/>
      <c r="AE368" s="864"/>
      <c r="AF368" s="867"/>
      <c r="AG368" s="867"/>
      <c r="AH368" s="867"/>
      <c r="AI368" s="867"/>
      <c r="AJ368" s="864"/>
      <c r="AK368" s="867"/>
      <c r="AL368" s="867"/>
      <c r="AM368" s="867"/>
      <c r="AN368" s="867"/>
      <c r="AO368" s="864"/>
      <c r="AP368" s="867"/>
      <c r="AQ368" s="867"/>
      <c r="AR368" s="867"/>
      <c r="AS368" s="867"/>
      <c r="AT368" s="864"/>
      <c r="AU368" s="867"/>
      <c r="AV368" s="867"/>
      <c r="AW368" s="868"/>
      <c r="AX368" s="867"/>
      <c r="AY368" s="864"/>
      <c r="AZ368" s="867"/>
      <c r="BA368" s="867"/>
      <c r="BB368" s="867"/>
      <c r="BC368" s="867"/>
      <c r="BD368" s="864"/>
      <c r="BE368" s="864"/>
      <c r="BF368" s="864"/>
      <c r="BG368" s="864"/>
      <c r="BH368" s="821"/>
    </row>
    <row r="369" spans="1:60" customFormat="1" hidden="1" outlineLevel="1" x14ac:dyDescent="0.25">
      <c r="A369" s="367" t="s">
        <v>74</v>
      </c>
      <c r="B369" s="289"/>
      <c r="C369" s="864"/>
      <c r="D369" s="864"/>
      <c r="E369" s="864"/>
      <c r="F369" s="864"/>
      <c r="G369" s="866">
        <v>0</v>
      </c>
      <c r="H369" s="866">
        <v>0</v>
      </c>
      <c r="I369" s="866">
        <v>0</v>
      </c>
      <c r="J369" s="866">
        <v>0</v>
      </c>
      <c r="K369" s="865">
        <f>SUM(G369,H369,I369,J369)</f>
        <v>0</v>
      </c>
      <c r="L369" s="866">
        <v>0</v>
      </c>
      <c r="M369" s="866">
        <v>0</v>
      </c>
      <c r="N369" s="866">
        <v>0</v>
      </c>
      <c r="O369" s="866">
        <v>-38.612000000000002</v>
      </c>
      <c r="P369" s="865">
        <f>SUM(L369,M369,N369,O369)</f>
        <v>-38.612000000000002</v>
      </c>
      <c r="Q369" s="866">
        <v>0</v>
      </c>
      <c r="R369" s="866">
        <v>0</v>
      </c>
      <c r="S369" s="866">
        <v>0</v>
      </c>
      <c r="T369" s="866">
        <v>-13.438000000000001</v>
      </c>
      <c r="U369" s="865">
        <f>SUM(Q369,R369,S369,T369)</f>
        <v>-13.438000000000001</v>
      </c>
      <c r="V369" s="867"/>
      <c r="W369" s="867"/>
      <c r="X369" s="867"/>
      <c r="Y369" s="867"/>
      <c r="Z369" s="864"/>
      <c r="AA369" s="867"/>
      <c r="AB369" s="867"/>
      <c r="AC369" s="867"/>
      <c r="AD369" s="867"/>
      <c r="AE369" s="864"/>
      <c r="AF369" s="867"/>
      <c r="AG369" s="867"/>
      <c r="AH369" s="867"/>
      <c r="AI369" s="867"/>
      <c r="AJ369" s="864"/>
      <c r="AK369" s="867"/>
      <c r="AL369" s="867"/>
      <c r="AM369" s="867"/>
      <c r="AN369" s="867"/>
      <c r="AO369" s="864"/>
      <c r="AP369" s="867"/>
      <c r="AQ369" s="867"/>
      <c r="AR369" s="867"/>
      <c r="AS369" s="867"/>
      <c r="AT369" s="864"/>
      <c r="AU369" s="867"/>
      <c r="AV369" s="867"/>
      <c r="AW369" s="868"/>
      <c r="AX369" s="867"/>
      <c r="AY369" s="864"/>
      <c r="AZ369" s="867"/>
      <c r="BA369" s="867"/>
      <c r="BB369" s="867"/>
      <c r="BC369" s="867"/>
      <c r="BD369" s="864"/>
      <c r="BE369" s="864"/>
      <c r="BF369" s="864"/>
      <c r="BG369" s="864"/>
      <c r="BH369" s="821"/>
    </row>
    <row r="370" spans="1:60" customFormat="1" hidden="1" outlineLevel="1" x14ac:dyDescent="0.25">
      <c r="A370" s="367" t="s">
        <v>75</v>
      </c>
      <c r="B370" s="289"/>
      <c r="C370" s="864"/>
      <c r="D370" s="864"/>
      <c r="E370" s="864"/>
      <c r="F370" s="864"/>
      <c r="G370" s="866">
        <v>0</v>
      </c>
      <c r="H370" s="866">
        <v>0</v>
      </c>
      <c r="I370" s="866">
        <v>0</v>
      </c>
      <c r="J370" s="866">
        <v>0</v>
      </c>
      <c r="K370" s="865">
        <f>SUM(G370,H370,I370,J370)</f>
        <v>0</v>
      </c>
      <c r="L370" s="866">
        <v>0</v>
      </c>
      <c r="M370" s="866">
        <v>0</v>
      </c>
      <c r="N370" s="866">
        <v>0</v>
      </c>
      <c r="O370" s="866">
        <v>0</v>
      </c>
      <c r="P370" s="865">
        <f>SUM(L370,M370,N370,O370)</f>
        <v>0</v>
      </c>
      <c r="Q370" s="866">
        <v>33.695999999999998</v>
      </c>
      <c r="R370" s="866">
        <v>0</v>
      </c>
      <c r="S370" s="866">
        <v>0</v>
      </c>
      <c r="T370" s="866">
        <v>0</v>
      </c>
      <c r="U370" s="865">
        <f>SUM(Q370,R370,S370,T370)</f>
        <v>33.695999999999998</v>
      </c>
      <c r="V370" s="867"/>
      <c r="W370" s="867"/>
      <c r="X370" s="867"/>
      <c r="Y370" s="867"/>
      <c r="Z370" s="864"/>
      <c r="AA370" s="867"/>
      <c r="AB370" s="867"/>
      <c r="AC370" s="867"/>
      <c r="AD370" s="867"/>
      <c r="AE370" s="864"/>
      <c r="AF370" s="867"/>
      <c r="AG370" s="867"/>
      <c r="AH370" s="867"/>
      <c r="AI370" s="867"/>
      <c r="AJ370" s="864"/>
      <c r="AK370" s="867"/>
      <c r="AL370" s="867"/>
      <c r="AM370" s="867"/>
      <c r="AN370" s="867"/>
      <c r="AO370" s="864"/>
      <c r="AP370" s="867"/>
      <c r="AQ370" s="867"/>
      <c r="AR370" s="867"/>
      <c r="AS370" s="867"/>
      <c r="AT370" s="864"/>
      <c r="AU370" s="867"/>
      <c r="AV370" s="867"/>
      <c r="AW370" s="868"/>
      <c r="AX370" s="867"/>
      <c r="AY370" s="864"/>
      <c r="AZ370" s="867"/>
      <c r="BA370" s="867"/>
      <c r="BB370" s="867"/>
      <c r="BC370" s="867"/>
      <c r="BD370" s="864"/>
      <c r="BE370" s="864"/>
      <c r="BF370" s="864"/>
      <c r="BG370" s="864"/>
      <c r="BH370" s="821"/>
    </row>
    <row r="371" spans="1:60" customFormat="1" hidden="1" outlineLevel="1" x14ac:dyDescent="0.25">
      <c r="A371" s="113" t="s">
        <v>76</v>
      </c>
      <c r="B371" s="441"/>
      <c r="C371" s="881"/>
      <c r="D371" s="881"/>
      <c r="E371" s="881"/>
      <c r="F371" s="881"/>
      <c r="G371" s="885">
        <v>-9.1519999999999992</v>
      </c>
      <c r="H371" s="885">
        <v>0</v>
      </c>
      <c r="I371" s="885">
        <v>0</v>
      </c>
      <c r="J371" s="885">
        <v>0</v>
      </c>
      <c r="K371" s="886">
        <f>SUM(G371,H371,I371,J371)</f>
        <v>-9.1519999999999992</v>
      </c>
      <c r="L371" s="885">
        <v>0</v>
      </c>
      <c r="M371" s="885">
        <v>0</v>
      </c>
      <c r="N371" s="885">
        <v>0</v>
      </c>
      <c r="O371" s="885">
        <v>0</v>
      </c>
      <c r="P371" s="886">
        <f>SUM(L371,M371,N371,O371)</f>
        <v>0</v>
      </c>
      <c r="Q371" s="885">
        <v>-9.3829999999999991</v>
      </c>
      <c r="R371" s="885">
        <v>0</v>
      </c>
      <c r="S371" s="885">
        <v>0</v>
      </c>
      <c r="T371" s="885">
        <v>0</v>
      </c>
      <c r="U371" s="886">
        <f>SUM(Q371,R371,S371,T371)</f>
        <v>-9.3829999999999991</v>
      </c>
      <c r="V371" s="882"/>
      <c r="W371" s="882"/>
      <c r="X371" s="882"/>
      <c r="Y371" s="882"/>
      <c r="Z371" s="881"/>
      <c r="AA371" s="882"/>
      <c r="AB371" s="882"/>
      <c r="AC371" s="882"/>
      <c r="AD371" s="882"/>
      <c r="AE371" s="881"/>
      <c r="AF371" s="882"/>
      <c r="AG371" s="882"/>
      <c r="AH371" s="882"/>
      <c r="AI371" s="882"/>
      <c r="AJ371" s="881"/>
      <c r="AK371" s="882"/>
      <c r="AL371" s="882"/>
      <c r="AM371" s="882"/>
      <c r="AN371" s="882"/>
      <c r="AO371" s="881"/>
      <c r="AP371" s="882"/>
      <c r="AQ371" s="882"/>
      <c r="AR371" s="882"/>
      <c r="AS371" s="882"/>
      <c r="AT371" s="881"/>
      <c r="AU371" s="882"/>
      <c r="AV371" s="882"/>
      <c r="AW371" s="883"/>
      <c r="AX371" s="882"/>
      <c r="AY371" s="881"/>
      <c r="AZ371" s="882"/>
      <c r="BA371" s="882"/>
      <c r="BB371" s="882"/>
      <c r="BC371" s="882"/>
      <c r="BD371" s="881"/>
      <c r="BE371" s="881"/>
      <c r="BF371" s="881"/>
      <c r="BG371" s="881"/>
      <c r="BH371" s="821"/>
    </row>
    <row r="372" spans="1:60" customFormat="1" hidden="1" outlineLevel="1" x14ac:dyDescent="0.25">
      <c r="A372" s="61" t="s">
        <v>77</v>
      </c>
      <c r="B372" s="505"/>
      <c r="C372" s="869"/>
      <c r="D372" s="869"/>
      <c r="E372" s="869"/>
      <c r="F372" s="869"/>
      <c r="G372" s="871">
        <f t="shared" ref="G372:U372" si="264">SUM(G367:G371)</f>
        <v>18.666000000000032</v>
      </c>
      <c r="H372" s="871">
        <f t="shared" si="264"/>
        <v>29.471000000000078</v>
      </c>
      <c r="I372" s="871">
        <f t="shared" si="264"/>
        <v>31.822000000000063</v>
      </c>
      <c r="J372" s="871">
        <f t="shared" si="264"/>
        <v>48.420999999999097</v>
      </c>
      <c r="K372" s="872">
        <f t="shared" si="264"/>
        <v>128.38</v>
      </c>
      <c r="L372" s="871">
        <f t="shared" si="264"/>
        <v>53.114999999999917</v>
      </c>
      <c r="M372" s="871">
        <f t="shared" si="264"/>
        <v>71.017999999999958</v>
      </c>
      <c r="N372" s="871">
        <f t="shared" si="264"/>
        <v>59.295000000000037</v>
      </c>
      <c r="O372" s="871">
        <f t="shared" si="264"/>
        <v>44.758999999999709</v>
      </c>
      <c r="P372" s="872">
        <f t="shared" si="264"/>
        <v>228.1869999999997</v>
      </c>
      <c r="Q372" s="871">
        <f t="shared" si="264"/>
        <v>48.008999999999801</v>
      </c>
      <c r="R372" s="871">
        <f t="shared" si="264"/>
        <v>26.33499999999998</v>
      </c>
      <c r="S372" s="871">
        <f t="shared" si="264"/>
        <v>29.43199999999991</v>
      </c>
      <c r="T372" s="871">
        <f t="shared" si="264"/>
        <v>29.740000000000776</v>
      </c>
      <c r="U372" s="872">
        <f t="shared" si="264"/>
        <v>133.51600000000067</v>
      </c>
      <c r="V372" s="870"/>
      <c r="W372" s="870"/>
      <c r="X372" s="870"/>
      <c r="Y372" s="870"/>
      <c r="Z372" s="869"/>
      <c r="AA372" s="870"/>
      <c r="AB372" s="870"/>
      <c r="AC372" s="870"/>
      <c r="AD372" s="870"/>
      <c r="AE372" s="869"/>
      <c r="AF372" s="870"/>
      <c r="AG372" s="870"/>
      <c r="AH372" s="870"/>
      <c r="AI372" s="870"/>
      <c r="AJ372" s="869"/>
      <c r="AK372" s="870"/>
      <c r="AL372" s="870"/>
      <c r="AM372" s="870"/>
      <c r="AN372" s="870"/>
      <c r="AO372" s="869"/>
      <c r="AP372" s="870"/>
      <c r="AQ372" s="870"/>
      <c r="AR372" s="870"/>
      <c r="AS372" s="870"/>
      <c r="AT372" s="869"/>
      <c r="AU372" s="870"/>
      <c r="AV372" s="870"/>
      <c r="AW372" s="887"/>
      <c r="AX372" s="870"/>
      <c r="AY372" s="869"/>
      <c r="AZ372" s="870"/>
      <c r="BA372" s="870"/>
      <c r="BB372" s="870"/>
      <c r="BC372" s="870"/>
      <c r="BD372" s="869"/>
      <c r="BE372" s="869"/>
      <c r="BF372" s="869"/>
      <c r="BG372" s="869"/>
      <c r="BH372" s="824"/>
    </row>
    <row r="373" spans="1:60" customFormat="1" hidden="1" outlineLevel="1" x14ac:dyDescent="0.25">
      <c r="A373" s="494"/>
      <c r="B373" s="423"/>
      <c r="C373" s="874"/>
      <c r="D373" s="874"/>
      <c r="E373" s="874"/>
      <c r="F373" s="874"/>
      <c r="G373" s="879"/>
      <c r="H373" s="879"/>
      <c r="I373" s="879"/>
      <c r="J373" s="879"/>
      <c r="K373" s="874"/>
      <c r="L373" s="879"/>
      <c r="M373" s="879"/>
      <c r="N373" s="879"/>
      <c r="O373" s="879"/>
      <c r="P373" s="874"/>
      <c r="Q373" s="879"/>
      <c r="R373" s="879"/>
      <c r="S373" s="879"/>
      <c r="T373" s="879"/>
      <c r="U373" s="874"/>
      <c r="V373" s="879"/>
      <c r="W373" s="879"/>
      <c r="X373" s="879"/>
      <c r="Y373" s="879"/>
      <c r="Z373" s="874"/>
      <c r="AA373" s="879"/>
      <c r="AB373" s="879"/>
      <c r="AC373" s="879"/>
      <c r="AD373" s="879"/>
      <c r="AE373" s="874"/>
      <c r="AF373" s="879"/>
      <c r="AG373" s="879"/>
      <c r="AH373" s="879"/>
      <c r="AI373" s="879"/>
      <c r="AJ373" s="874"/>
      <c r="AK373" s="879"/>
      <c r="AL373" s="879"/>
      <c r="AM373" s="879"/>
      <c r="AN373" s="879"/>
      <c r="AO373" s="874"/>
      <c r="AP373" s="879"/>
      <c r="AQ373" s="879"/>
      <c r="AR373" s="879"/>
      <c r="AS373" s="879"/>
      <c r="AT373" s="874"/>
      <c r="AU373" s="879"/>
      <c r="AV373" s="879"/>
      <c r="AW373" s="880"/>
      <c r="AX373" s="879"/>
      <c r="AY373" s="874"/>
      <c r="AZ373" s="879"/>
      <c r="BA373" s="879"/>
      <c r="BB373" s="879"/>
      <c r="BC373" s="879"/>
      <c r="BD373" s="874"/>
      <c r="BE373" s="874"/>
      <c r="BF373" s="874"/>
      <c r="BG373" s="874"/>
      <c r="BH373" s="824"/>
    </row>
    <row r="374" spans="1:60" customFormat="1" hidden="1" outlineLevel="1" x14ac:dyDescent="0.25">
      <c r="A374" s="63" t="s">
        <v>65</v>
      </c>
      <c r="B374" s="423"/>
      <c r="C374" s="874"/>
      <c r="D374" s="874"/>
      <c r="E374" s="875">
        <f>E349</f>
        <v>226.12600000000012</v>
      </c>
      <c r="F374" s="875">
        <f>F349</f>
        <v>17.152000000000189</v>
      </c>
      <c r="G374" s="876">
        <f>G349</f>
        <v>2.689000000000028</v>
      </c>
      <c r="H374" s="879"/>
      <c r="I374" s="879"/>
      <c r="J374" s="879"/>
      <c r="K374" s="875">
        <f>K349</f>
        <v>112.40299999999999</v>
      </c>
      <c r="L374" s="879"/>
      <c r="M374" s="879"/>
      <c r="N374" s="879"/>
      <c r="O374" s="879"/>
      <c r="P374" s="874"/>
      <c r="Q374" s="879"/>
      <c r="R374" s="879"/>
      <c r="S374" s="879"/>
      <c r="T374" s="879"/>
      <c r="U374" s="874"/>
      <c r="V374" s="879"/>
      <c r="W374" s="879"/>
      <c r="X374" s="879"/>
      <c r="Y374" s="879"/>
      <c r="Z374" s="874"/>
      <c r="AA374" s="879"/>
      <c r="AB374" s="879"/>
      <c r="AC374" s="879"/>
      <c r="AD374" s="879"/>
      <c r="AE374" s="874"/>
      <c r="AF374" s="879"/>
      <c r="AG374" s="879"/>
      <c r="AH374" s="879"/>
      <c r="AI374" s="879"/>
      <c r="AJ374" s="874"/>
      <c r="AK374" s="879"/>
      <c r="AL374" s="879"/>
      <c r="AM374" s="879"/>
      <c r="AN374" s="879"/>
      <c r="AO374" s="874"/>
      <c r="AP374" s="879"/>
      <c r="AQ374" s="879"/>
      <c r="AR374" s="879"/>
      <c r="AS374" s="879"/>
      <c r="AT374" s="874"/>
      <c r="AU374" s="879"/>
      <c r="AV374" s="879"/>
      <c r="AW374" s="880"/>
      <c r="AX374" s="879"/>
      <c r="AY374" s="874"/>
      <c r="AZ374" s="879"/>
      <c r="BA374" s="879"/>
      <c r="BB374" s="879"/>
      <c r="BC374" s="879"/>
      <c r="BD374" s="874"/>
      <c r="BE374" s="874"/>
      <c r="BF374" s="874"/>
      <c r="BG374" s="874"/>
      <c r="BH374" s="824"/>
    </row>
    <row r="375" spans="1:60" customFormat="1" hidden="1" outlineLevel="1" x14ac:dyDescent="0.25">
      <c r="A375" s="113" t="s">
        <v>78</v>
      </c>
      <c r="B375" s="441"/>
      <c r="C375" s="881"/>
      <c r="D375" s="881"/>
      <c r="E375" s="886">
        <v>1.7000000000000001E-2</v>
      </c>
      <c r="F375" s="886">
        <v>0.19500000000000001</v>
      </c>
      <c r="G375" s="885">
        <v>4.9000000000000002E-2</v>
      </c>
      <c r="H375" s="882"/>
      <c r="I375" s="882"/>
      <c r="J375" s="882"/>
      <c r="K375" s="886">
        <v>4.9000000000000002E-2</v>
      </c>
      <c r="L375" s="882"/>
      <c r="M375" s="882"/>
      <c r="N375" s="882"/>
      <c r="O375" s="882"/>
      <c r="P375" s="881"/>
      <c r="Q375" s="882"/>
      <c r="R375" s="882"/>
      <c r="S375" s="882"/>
      <c r="T375" s="882"/>
      <c r="U375" s="881"/>
      <c r="V375" s="882"/>
      <c r="W375" s="882"/>
      <c r="X375" s="882"/>
      <c r="Y375" s="882"/>
      <c r="Z375" s="881"/>
      <c r="AA375" s="882"/>
      <c r="AB375" s="882"/>
      <c r="AC375" s="882"/>
      <c r="AD375" s="882"/>
      <c r="AE375" s="881"/>
      <c r="AF375" s="882"/>
      <c r="AG375" s="882"/>
      <c r="AH375" s="882"/>
      <c r="AI375" s="882"/>
      <c r="AJ375" s="881"/>
      <c r="AK375" s="882"/>
      <c r="AL375" s="882"/>
      <c r="AM375" s="882"/>
      <c r="AN375" s="882"/>
      <c r="AO375" s="881"/>
      <c r="AP375" s="882"/>
      <c r="AQ375" s="882"/>
      <c r="AR375" s="882"/>
      <c r="AS375" s="882"/>
      <c r="AT375" s="881"/>
      <c r="AU375" s="882"/>
      <c r="AV375" s="882"/>
      <c r="AW375" s="883"/>
      <c r="AX375" s="882"/>
      <c r="AY375" s="881"/>
      <c r="AZ375" s="882"/>
      <c r="BA375" s="882"/>
      <c r="BB375" s="882"/>
      <c r="BC375" s="882"/>
      <c r="BD375" s="881"/>
      <c r="BE375" s="881"/>
      <c r="BF375" s="881"/>
      <c r="BG375" s="881"/>
      <c r="BH375" s="821"/>
    </row>
    <row r="376" spans="1:60" customFormat="1" hidden="1" outlineLevel="1" x14ac:dyDescent="0.25">
      <c r="A376" s="61" t="s">
        <v>79</v>
      </c>
      <c r="B376" s="505"/>
      <c r="C376" s="869"/>
      <c r="D376" s="869"/>
      <c r="E376" s="872">
        <f>SUM(E374:E375)</f>
        <v>226.14300000000011</v>
      </c>
      <c r="F376" s="872">
        <f>SUM(F374:F375)</f>
        <v>17.34700000000019</v>
      </c>
      <c r="G376" s="871">
        <f>SUM(G374:G375)</f>
        <v>2.738000000000028</v>
      </c>
      <c r="H376" s="870"/>
      <c r="I376" s="870"/>
      <c r="J376" s="870"/>
      <c r="K376" s="872">
        <f>SUM(K374:K375)</f>
        <v>112.452</v>
      </c>
      <c r="L376" s="870"/>
      <c r="M376" s="870"/>
      <c r="N376" s="870"/>
      <c r="O376" s="870"/>
      <c r="P376" s="869"/>
      <c r="Q376" s="870"/>
      <c r="R376" s="870"/>
      <c r="S376" s="870"/>
      <c r="T376" s="870"/>
      <c r="U376" s="869"/>
      <c r="V376" s="870"/>
      <c r="W376" s="870"/>
      <c r="X376" s="870"/>
      <c r="Y376" s="870"/>
      <c r="Z376" s="869"/>
      <c r="AA376" s="870"/>
      <c r="AB376" s="870"/>
      <c r="AC376" s="870"/>
      <c r="AD376" s="870"/>
      <c r="AE376" s="869"/>
      <c r="AF376" s="870"/>
      <c r="AG376" s="870"/>
      <c r="AH376" s="870"/>
      <c r="AI376" s="870"/>
      <c r="AJ376" s="869"/>
      <c r="AK376" s="870"/>
      <c r="AL376" s="870"/>
      <c r="AM376" s="870"/>
      <c r="AN376" s="870"/>
      <c r="AO376" s="869"/>
      <c r="AP376" s="870"/>
      <c r="AQ376" s="870"/>
      <c r="AR376" s="870"/>
      <c r="AS376" s="870"/>
      <c r="AT376" s="869"/>
      <c r="AU376" s="870"/>
      <c r="AV376" s="870"/>
      <c r="AW376" s="887"/>
      <c r="AX376" s="870"/>
      <c r="AY376" s="869"/>
      <c r="AZ376" s="870"/>
      <c r="BA376" s="870"/>
      <c r="BB376" s="870"/>
      <c r="BC376" s="870"/>
      <c r="BD376" s="869"/>
      <c r="BE376" s="869"/>
      <c r="BF376" s="869"/>
      <c r="BG376" s="869"/>
      <c r="BH376" s="824"/>
    </row>
    <row r="377" spans="1:60" customFormat="1" collapsed="1" x14ac:dyDescent="0.25">
      <c r="A377" s="494"/>
      <c r="B377" s="423"/>
      <c r="C377" s="874"/>
      <c r="D377" s="874"/>
      <c r="E377" s="874"/>
      <c r="F377" s="874"/>
      <c r="G377" s="879"/>
      <c r="H377" s="879"/>
      <c r="I377" s="879"/>
      <c r="J377" s="879"/>
      <c r="K377" s="874"/>
      <c r="L377" s="879"/>
      <c r="M377" s="879"/>
      <c r="N377" s="879"/>
      <c r="O377" s="879"/>
      <c r="P377" s="874"/>
      <c r="Q377" s="879"/>
      <c r="R377" s="879"/>
      <c r="S377" s="879"/>
      <c r="T377" s="879"/>
      <c r="U377" s="874"/>
      <c r="V377" s="879"/>
      <c r="W377" s="879"/>
      <c r="X377" s="879"/>
      <c r="Y377" s="879"/>
      <c r="Z377" s="874"/>
      <c r="AA377" s="879"/>
      <c r="AB377" s="879"/>
      <c r="AC377" s="879"/>
      <c r="AD377" s="879"/>
      <c r="AE377" s="874"/>
      <c r="AF377" s="879"/>
      <c r="AG377" s="879"/>
      <c r="AH377" s="879"/>
      <c r="AI377" s="879"/>
      <c r="AJ377" s="874"/>
      <c r="AK377" s="879"/>
      <c r="AL377" s="879"/>
      <c r="AM377" s="879"/>
      <c r="AN377" s="879"/>
      <c r="AO377" s="874"/>
      <c r="AP377" s="879"/>
      <c r="AQ377" s="879"/>
      <c r="AR377" s="879"/>
      <c r="AS377" s="879"/>
      <c r="AT377" s="874"/>
      <c r="AU377" s="879"/>
      <c r="AV377" s="879"/>
      <c r="AW377" s="880"/>
      <c r="AX377" s="879"/>
      <c r="AY377" s="874"/>
      <c r="AZ377" s="879"/>
      <c r="BA377" s="879"/>
      <c r="BB377" s="879"/>
      <c r="BC377" s="879"/>
      <c r="BD377" s="874"/>
      <c r="BE377" s="874"/>
      <c r="BF377" s="874"/>
      <c r="BG377" s="874"/>
      <c r="BH377" s="824"/>
    </row>
    <row r="378" spans="1:60" customFormat="1" x14ac:dyDescent="0.25">
      <c r="A378" s="819" t="s">
        <v>80</v>
      </c>
      <c r="B378" s="819"/>
      <c r="C378" s="861"/>
      <c r="D378" s="861"/>
      <c r="E378" s="861"/>
      <c r="F378" s="861"/>
      <c r="G378" s="861"/>
      <c r="H378" s="861"/>
      <c r="I378" s="861"/>
      <c r="J378" s="861"/>
      <c r="K378" s="861"/>
      <c r="L378" s="861"/>
      <c r="M378" s="861"/>
      <c r="N378" s="861"/>
      <c r="O378" s="861"/>
      <c r="P378" s="861"/>
      <c r="Q378" s="861"/>
      <c r="R378" s="861"/>
      <c r="S378" s="861"/>
      <c r="T378" s="861"/>
      <c r="U378" s="861"/>
      <c r="V378" s="861"/>
      <c r="W378" s="861"/>
      <c r="X378" s="861"/>
      <c r="Y378" s="861"/>
      <c r="Z378" s="861"/>
      <c r="AA378" s="861"/>
      <c r="AB378" s="861"/>
      <c r="AC378" s="861"/>
      <c r="AD378" s="861"/>
      <c r="AE378" s="861"/>
      <c r="AF378" s="861"/>
      <c r="AG378" s="861"/>
      <c r="AH378" s="861"/>
      <c r="AI378" s="861"/>
      <c r="AJ378" s="861"/>
      <c r="AK378" s="861"/>
      <c r="AL378" s="861"/>
      <c r="AM378" s="861"/>
      <c r="AN378" s="861"/>
      <c r="AO378" s="861"/>
      <c r="AP378" s="861"/>
      <c r="AQ378" s="861"/>
      <c r="AR378" s="861"/>
      <c r="AS378" s="861"/>
      <c r="AT378" s="861"/>
      <c r="AU378" s="861"/>
      <c r="AV378" s="861"/>
      <c r="AW378" s="862"/>
      <c r="AX378" s="861"/>
      <c r="AY378" s="861"/>
      <c r="AZ378" s="861"/>
      <c r="BA378" s="861"/>
      <c r="BB378" s="861"/>
      <c r="BC378" s="861"/>
      <c r="BD378" s="861"/>
      <c r="BE378" s="861"/>
      <c r="BF378" s="861"/>
      <c r="BG378" s="861"/>
      <c r="BH378" s="824"/>
    </row>
    <row r="379" spans="1:60" customFormat="1" x14ac:dyDescent="0.25">
      <c r="A379" s="63" t="s">
        <v>81</v>
      </c>
      <c r="B379" s="423"/>
      <c r="C379" s="875">
        <f t="shared" ref="C379:AW379" si="265">C334</f>
        <v>1670.269</v>
      </c>
      <c r="D379" s="875">
        <f t="shared" si="265"/>
        <v>2162.625</v>
      </c>
      <c r="E379" s="875">
        <f t="shared" si="265"/>
        <v>3204.5770000000002</v>
      </c>
      <c r="F379" s="875">
        <f t="shared" si="265"/>
        <v>3609.2820000000002</v>
      </c>
      <c r="G379" s="876">
        <f t="shared" si="265"/>
        <v>1023.961</v>
      </c>
      <c r="H379" s="876">
        <f t="shared" si="265"/>
        <v>1069.3720000000001</v>
      </c>
      <c r="I379" s="876">
        <f t="shared" si="265"/>
        <v>1105.999</v>
      </c>
      <c r="J379" s="876">
        <f t="shared" si="265"/>
        <v>1175.2299999999993</v>
      </c>
      <c r="K379" s="875">
        <f t="shared" si="265"/>
        <v>4374.5619999999999</v>
      </c>
      <c r="L379" s="876">
        <f t="shared" si="265"/>
        <v>1270.0889999999999</v>
      </c>
      <c r="M379" s="876">
        <f t="shared" si="265"/>
        <v>1340.4069999999999</v>
      </c>
      <c r="N379" s="876">
        <f t="shared" si="265"/>
        <v>1409.432</v>
      </c>
      <c r="O379" s="876">
        <f t="shared" si="265"/>
        <v>1484.7279999999998</v>
      </c>
      <c r="P379" s="875">
        <f t="shared" si="265"/>
        <v>5504.6559999999999</v>
      </c>
      <c r="Q379" s="876">
        <f t="shared" si="265"/>
        <v>1573.1289999999999</v>
      </c>
      <c r="R379" s="876">
        <f t="shared" si="265"/>
        <v>1644.694</v>
      </c>
      <c r="S379" s="876">
        <f t="shared" si="265"/>
        <v>1738.355</v>
      </c>
      <c r="T379" s="876">
        <f t="shared" si="265"/>
        <v>1823.3330000000005</v>
      </c>
      <c r="U379" s="875">
        <f t="shared" si="265"/>
        <v>6779.5110000000004</v>
      </c>
      <c r="V379" s="876">
        <f t="shared" si="265"/>
        <v>1957.7360000000001</v>
      </c>
      <c r="W379" s="876">
        <f t="shared" si="265"/>
        <v>2105.2040000000002</v>
      </c>
      <c r="X379" s="876">
        <f t="shared" si="265"/>
        <v>2290.1880000000001</v>
      </c>
      <c r="Y379" s="879">
        <f t="shared" si="265"/>
        <v>2477.5409999999993</v>
      </c>
      <c r="Z379" s="874">
        <f t="shared" si="265"/>
        <v>8830.6689999999999</v>
      </c>
      <c r="AA379" s="876">
        <f t="shared" si="265"/>
        <v>2636.6350000000002</v>
      </c>
      <c r="AB379" s="876">
        <f t="shared" si="265"/>
        <v>2785.4639999999999</v>
      </c>
      <c r="AC379" s="876">
        <f t="shared" si="265"/>
        <v>2984.8589999999999</v>
      </c>
      <c r="AD379" s="879">
        <f t="shared" si="265"/>
        <v>3285.7549999999997</v>
      </c>
      <c r="AE379" s="874">
        <f t="shared" si="265"/>
        <v>11692.713</v>
      </c>
      <c r="AF379" s="876">
        <f t="shared" si="265"/>
        <v>3700.8560000000002</v>
      </c>
      <c r="AG379" s="876">
        <f t="shared" si="265"/>
        <v>3907.27</v>
      </c>
      <c r="AH379" s="876">
        <f t="shared" si="265"/>
        <v>3999.3739999999998</v>
      </c>
      <c r="AI379" s="879">
        <f t="shared" si="265"/>
        <v>4186.8410000000003</v>
      </c>
      <c r="AJ379" s="874">
        <f t="shared" si="265"/>
        <v>15794.341</v>
      </c>
      <c r="AK379" s="876">
        <f t="shared" si="265"/>
        <v>4520.9920000000002</v>
      </c>
      <c r="AL379" s="876">
        <f t="shared" si="265"/>
        <v>4923.116</v>
      </c>
      <c r="AM379" s="876">
        <f t="shared" si="265"/>
        <v>5244.9049999999997</v>
      </c>
      <c r="AN379" s="879">
        <f t="shared" si="265"/>
        <v>5467.4340000000002</v>
      </c>
      <c r="AO379" s="874">
        <f t="shared" si="265"/>
        <v>20156.447</v>
      </c>
      <c r="AP379" s="876">
        <f t="shared" si="265"/>
        <v>5767.6909999999998</v>
      </c>
      <c r="AQ379" s="876">
        <f t="shared" si="265"/>
        <v>6148.2860000000001</v>
      </c>
      <c r="AR379" s="876">
        <f t="shared" si="265"/>
        <v>6435.6369999999997</v>
      </c>
      <c r="AS379" s="879">
        <f t="shared" si="265"/>
        <v>6644.4420000000018</v>
      </c>
      <c r="AT379" s="874">
        <f t="shared" si="265"/>
        <v>24996.056</v>
      </c>
      <c r="AU379" s="876">
        <f t="shared" si="265"/>
        <v>7163.2820000000002</v>
      </c>
      <c r="AV379" s="876">
        <f t="shared" si="265"/>
        <v>7341.777</v>
      </c>
      <c r="AW379" s="877">
        <f t="shared" si="265"/>
        <v>7483.4669999999996</v>
      </c>
      <c r="AX379" s="879">
        <f>+AX192</f>
        <v>7723.3186424640007</v>
      </c>
      <c r="AY379" s="874">
        <f>SUM(AU379,AV379,AW379,AX379)</f>
        <v>29711.844642464002</v>
      </c>
      <c r="AZ379" s="879">
        <f>+AZ192</f>
        <v>7997.8967346311483</v>
      </c>
      <c r="BA379" s="879">
        <f>+BA192</f>
        <v>8226.8890415095739</v>
      </c>
      <c r="BB379" s="879">
        <f>+BB192</f>
        <v>8464.3311244111865</v>
      </c>
      <c r="BC379" s="879">
        <f>+BC192</f>
        <v>8716.3775618686177</v>
      </c>
      <c r="BD379" s="874">
        <f>SUM(AZ379,BA379,BB379,BC379)</f>
        <v>33405.494462420524</v>
      </c>
      <c r="BE379" s="874">
        <f>+BE192</f>
        <v>37700.702939391864</v>
      </c>
      <c r="BF379" s="874">
        <f>+BF192</f>
        <v>42913.736107439145</v>
      </c>
      <c r="BG379" s="874">
        <f>+BG192</f>
        <v>48960.074611789147</v>
      </c>
      <c r="BH379" s="824"/>
    </row>
    <row r="380" spans="1:60" customFormat="1" x14ac:dyDescent="0.25">
      <c r="A380" s="950" t="str">
        <f>CONCATENATE("Consensus Estimates - ",IFERROR(LEFT(A379,FIND("(",A379)-1),A379))</f>
        <v>Consensus Estimates - Net Revenue</v>
      </c>
      <c r="B380" s="951"/>
      <c r="C380" s="900"/>
      <c r="D380" s="900"/>
      <c r="E380" s="900"/>
      <c r="F380" s="900"/>
      <c r="G380" s="901"/>
      <c r="H380" s="901"/>
      <c r="I380" s="901"/>
      <c r="J380" s="901"/>
      <c r="K380" s="900"/>
      <c r="L380" s="901"/>
      <c r="M380" s="901"/>
      <c r="N380" s="901"/>
      <c r="O380" s="901"/>
      <c r="P380" s="900"/>
      <c r="Q380" s="901"/>
      <c r="R380" s="901"/>
      <c r="S380" s="901"/>
      <c r="T380" s="901"/>
      <c r="U380" s="900"/>
      <c r="V380" s="901"/>
      <c r="W380" s="902"/>
      <c r="X380" s="901"/>
      <c r="Y380" s="902"/>
      <c r="Z380" s="851"/>
      <c r="AA380" s="901"/>
      <c r="AB380" s="902"/>
      <c r="AC380" s="901"/>
      <c r="AD380" s="902"/>
      <c r="AE380" s="851"/>
      <c r="AF380" s="901"/>
      <c r="AG380" s="902"/>
      <c r="AH380" s="901"/>
      <c r="AI380" s="902"/>
      <c r="AJ380" s="851"/>
      <c r="AK380" s="901"/>
      <c r="AL380" s="902"/>
      <c r="AM380" s="901"/>
      <c r="AN380" s="902"/>
      <c r="AO380" s="851"/>
      <c r="AP380" s="901"/>
      <c r="AQ380" s="902"/>
      <c r="AR380" s="901"/>
      <c r="AS380" s="902"/>
      <c r="AT380" s="851"/>
      <c r="AU380" s="901"/>
      <c r="AV380" s="902"/>
      <c r="AW380" s="903"/>
      <c r="AX380" s="901" t="str">
        <f t="shared" ref="AX380:BD380" ca="1" si="266">IFERROR(VLOOKUP($A380,tb_ConsensusEstimate,MATCH(AX$5,OFFSET(tb_ConsensusEstimate,0,0,1,COLUMNS(tb_ConsensusEstimate)),0),FALSE),"-")</f>
        <v>N/A</v>
      </c>
      <c r="AY380" s="904" t="str">
        <f t="shared" ca="1" si="266"/>
        <v>N/A</v>
      </c>
      <c r="AZ380" s="901" t="str">
        <f t="shared" ca="1" si="266"/>
        <v>N/A</v>
      </c>
      <c r="BA380" s="901" t="str">
        <f t="shared" ca="1" si="266"/>
        <v>N/A</v>
      </c>
      <c r="BB380" s="901" t="str">
        <f t="shared" ca="1" si="266"/>
        <v>N/A</v>
      </c>
      <c r="BC380" s="901" t="str">
        <f t="shared" ca="1" si="266"/>
        <v>N/A</v>
      </c>
      <c r="BD380" s="904" t="str">
        <f t="shared" ca="1" si="266"/>
        <v>N/A</v>
      </c>
      <c r="BE380" s="904" t="str">
        <f ca="1">IFERROR(VLOOKUP(A380,tb_ConsensusEstimate,MATCH(BE5,OFFSET(tb_ConsensusEstimate,0,0,1,COLUMNS(tb_ConsensusEstimate)),0),FALSE),"-")</f>
        <v>N/A</v>
      </c>
      <c r="BF380" s="904" t="str">
        <f ca="1">IFERROR(VLOOKUP(A380,tb_ConsensusEstimate,MATCH(BF5,OFFSET(tb_ConsensusEstimate,0,0,1,COLUMNS(tb_ConsensusEstimate)),0),FALSE),"-")</f>
        <v>N/A</v>
      </c>
      <c r="BG380" s="904" t="str">
        <f ca="1">IFERROR(VLOOKUP(A380,tb_ConsensusEstimate,MATCH(BG5,OFFSET(tb_ConsensusEstimate,0,0,1,COLUMNS(tb_ConsensusEstimate)),0),FALSE),"-")</f>
        <v>N/A</v>
      </c>
      <c r="BH380" s="830"/>
    </row>
    <row r="381" spans="1:60" customFormat="1" x14ac:dyDescent="0.25">
      <c r="A381" s="494"/>
      <c r="B381" s="423"/>
      <c r="C381" s="874"/>
      <c r="D381" s="874"/>
      <c r="E381" s="874"/>
      <c r="F381" s="874"/>
      <c r="G381" s="879"/>
      <c r="H381" s="879"/>
      <c r="I381" s="879"/>
      <c r="J381" s="879"/>
      <c r="K381" s="874"/>
      <c r="L381" s="879"/>
      <c r="M381" s="879"/>
      <c r="N381" s="879"/>
      <c r="O381" s="879"/>
      <c r="P381" s="874"/>
      <c r="Q381" s="879"/>
      <c r="R381" s="879"/>
      <c r="S381" s="879"/>
      <c r="T381" s="879"/>
      <c r="U381" s="874"/>
      <c r="V381" s="879"/>
      <c r="W381" s="879"/>
      <c r="X381" s="879"/>
      <c r="Y381" s="879"/>
      <c r="Z381" s="874"/>
      <c r="AA381" s="879"/>
      <c r="AB381" s="879"/>
      <c r="AC381" s="879"/>
      <c r="AD381" s="879"/>
      <c r="AE381" s="874"/>
      <c r="AF381" s="879"/>
      <c r="AG381" s="879"/>
      <c r="AH381" s="879"/>
      <c r="AI381" s="879"/>
      <c r="AJ381" s="874"/>
      <c r="AK381" s="879"/>
      <c r="AL381" s="879"/>
      <c r="AM381" s="879"/>
      <c r="AN381" s="879"/>
      <c r="AO381" s="874"/>
      <c r="AP381" s="879"/>
      <c r="AQ381" s="879"/>
      <c r="AR381" s="879"/>
      <c r="AS381" s="879"/>
      <c r="AT381" s="874"/>
      <c r="AU381" s="879"/>
      <c r="AV381" s="879"/>
      <c r="AW381" s="880"/>
      <c r="AX381" s="879"/>
      <c r="AY381" s="874"/>
      <c r="AZ381" s="879"/>
      <c r="BA381" s="879"/>
      <c r="BB381" s="879"/>
      <c r="BC381" s="879"/>
      <c r="BD381" s="874"/>
      <c r="BE381" s="874"/>
      <c r="BF381" s="874"/>
      <c r="BG381" s="874"/>
      <c r="BH381" s="824"/>
    </row>
    <row r="382" spans="1:60" customFormat="1" x14ac:dyDescent="0.25">
      <c r="A382" s="367" t="s">
        <v>518</v>
      </c>
      <c r="B382" s="289"/>
      <c r="C382" s="865">
        <f t="shared" ref="C382:AW382" si="267">C337</f>
        <v>1079.271</v>
      </c>
      <c r="D382" s="865">
        <f t="shared" si="267"/>
        <v>1357.355</v>
      </c>
      <c r="E382" s="865">
        <f t="shared" si="267"/>
        <v>2039.9010000000001</v>
      </c>
      <c r="F382" s="865">
        <f t="shared" si="267"/>
        <v>2652.058</v>
      </c>
      <c r="G382" s="866">
        <f t="shared" si="267"/>
        <v>736.952</v>
      </c>
      <c r="H382" s="866">
        <f t="shared" si="267"/>
        <v>760.67399999999998</v>
      </c>
      <c r="I382" s="866">
        <f t="shared" si="267"/>
        <v>798.9</v>
      </c>
      <c r="J382" s="866">
        <f t="shared" si="267"/>
        <v>820.67700000000025</v>
      </c>
      <c r="K382" s="865">
        <f t="shared" si="267"/>
        <v>3117.203</v>
      </c>
      <c r="L382" s="866">
        <f t="shared" si="267"/>
        <v>869.18600000000004</v>
      </c>
      <c r="M382" s="866">
        <f t="shared" si="267"/>
        <v>914.84799999999996</v>
      </c>
      <c r="N382" s="866">
        <f t="shared" si="267"/>
        <v>954.39400000000001</v>
      </c>
      <c r="O382" s="866">
        <f t="shared" si="267"/>
        <v>1014.3320000000001</v>
      </c>
      <c r="P382" s="865">
        <f t="shared" si="267"/>
        <v>3752.76</v>
      </c>
      <c r="Q382" s="866">
        <f t="shared" si="267"/>
        <v>1046.4010000000001</v>
      </c>
      <c r="R382" s="866">
        <f t="shared" si="267"/>
        <v>1121.752</v>
      </c>
      <c r="S382" s="866">
        <f t="shared" si="267"/>
        <v>1173.9580000000001</v>
      </c>
      <c r="T382" s="866">
        <f t="shared" si="267"/>
        <v>1249.3649999999998</v>
      </c>
      <c r="U382" s="865">
        <f t="shared" si="267"/>
        <v>4591.4759999999997</v>
      </c>
      <c r="V382" s="866">
        <f t="shared" si="267"/>
        <v>1418.5809999999999</v>
      </c>
      <c r="W382" s="866">
        <f t="shared" si="267"/>
        <v>1525.3969999999999</v>
      </c>
      <c r="X382" s="866">
        <f t="shared" si="267"/>
        <v>1593.768</v>
      </c>
      <c r="Y382" s="866">
        <f t="shared" si="267"/>
        <v>1719.7159999999999</v>
      </c>
      <c r="Z382" s="865">
        <f t="shared" si="267"/>
        <v>6257.4620000000004</v>
      </c>
      <c r="AA382" s="866">
        <f t="shared" si="267"/>
        <v>1740.731</v>
      </c>
      <c r="AB382" s="866">
        <f t="shared" si="267"/>
        <v>1991.6959999999999</v>
      </c>
      <c r="AC382" s="866">
        <f t="shared" si="267"/>
        <v>2086.239</v>
      </c>
      <c r="AD382" s="866">
        <f t="shared" si="267"/>
        <v>2214.3339999999998</v>
      </c>
      <c r="AE382" s="865">
        <f t="shared" si="267"/>
        <v>8033</v>
      </c>
      <c r="AF382" s="866">
        <f t="shared" si="267"/>
        <v>2300.5790000000002</v>
      </c>
      <c r="AG382" s="866">
        <f t="shared" si="267"/>
        <v>2402.431</v>
      </c>
      <c r="AH382" s="866">
        <f t="shared" si="267"/>
        <v>2531.1280000000002</v>
      </c>
      <c r="AI382" s="866">
        <f t="shared" si="267"/>
        <v>2733.4</v>
      </c>
      <c r="AJ382" s="865">
        <f t="shared" si="267"/>
        <v>9967.5380000000005</v>
      </c>
      <c r="AK382" s="866">
        <f t="shared" si="267"/>
        <v>2870.614</v>
      </c>
      <c r="AL382" s="866">
        <f t="shared" si="267"/>
        <v>3005.6570000000002</v>
      </c>
      <c r="AM382" s="866">
        <f t="shared" si="267"/>
        <v>3097.9189999999999</v>
      </c>
      <c r="AN382" s="866">
        <f t="shared" si="267"/>
        <v>3466.0230000000001</v>
      </c>
      <c r="AO382" s="865">
        <f t="shared" si="267"/>
        <v>12440.213</v>
      </c>
      <c r="AP382" s="866">
        <f t="shared" si="267"/>
        <v>3599.701</v>
      </c>
      <c r="AQ382" s="866">
        <f t="shared" si="267"/>
        <v>3643.7069999999999</v>
      </c>
      <c r="AR382" s="866">
        <f t="shared" si="267"/>
        <v>3867.7510000000002</v>
      </c>
      <c r="AS382" s="866">
        <f t="shared" si="267"/>
        <v>4165.159999999998</v>
      </c>
      <c r="AT382" s="865">
        <f t="shared" si="267"/>
        <v>15276.319</v>
      </c>
      <c r="AU382" s="866">
        <f t="shared" si="267"/>
        <v>3868.511</v>
      </c>
      <c r="AV382" s="866">
        <f t="shared" si="267"/>
        <v>4018.0079999999998</v>
      </c>
      <c r="AW382" s="878">
        <f t="shared" si="267"/>
        <v>4206.5889999999999</v>
      </c>
      <c r="AX382" s="867">
        <f>AX379-AX383</f>
        <v>5036.5767888958799</v>
      </c>
      <c r="AY382" s="864">
        <f>SUM(AU382,AV382,AW382,AX382)</f>
        <v>17129.68478889588</v>
      </c>
      <c r="AZ382" s="867">
        <f>AZ379-AZ383</f>
        <v>4331.5947668132458</v>
      </c>
      <c r="BA382" s="867">
        <f>BA379-BA383</f>
        <v>4455.7770328384822</v>
      </c>
      <c r="BB382" s="867">
        <f>BB379-BB383</f>
        <v>4624.3812724565969</v>
      </c>
      <c r="BC382" s="867">
        <f>BC379-BC383</f>
        <v>4927.6197693502263</v>
      </c>
      <c r="BD382" s="864">
        <f>SUM(AZ382,BA382,BB382,BC382)</f>
        <v>18339.372841458549</v>
      </c>
      <c r="BE382" s="864">
        <f>BE379-BE383</f>
        <v>19621.222469914144</v>
      </c>
      <c r="BF382" s="864">
        <f>BF379-BF383</f>
        <v>21344.051549377717</v>
      </c>
      <c r="BG382" s="864">
        <f>BG379-BG383</f>
        <v>22761.246347498629</v>
      </c>
      <c r="BH382" s="821"/>
    </row>
    <row r="383" spans="1:60" customFormat="1" x14ac:dyDescent="0.25">
      <c r="A383" s="61" t="s">
        <v>82</v>
      </c>
      <c r="B383" s="505"/>
      <c r="C383" s="872">
        <f t="shared" ref="C383:AH383" si="268">C379-SUM(C382:C382)</f>
        <v>590.99800000000005</v>
      </c>
      <c r="D383" s="872">
        <f t="shared" si="268"/>
        <v>805.27</v>
      </c>
      <c r="E383" s="872">
        <f t="shared" si="268"/>
        <v>1164.6760000000002</v>
      </c>
      <c r="F383" s="872">
        <f t="shared" si="268"/>
        <v>957.22400000000016</v>
      </c>
      <c r="G383" s="871">
        <f t="shared" si="268"/>
        <v>287.00900000000001</v>
      </c>
      <c r="H383" s="871">
        <f t="shared" si="268"/>
        <v>308.69800000000009</v>
      </c>
      <c r="I383" s="871">
        <f t="shared" si="268"/>
        <v>307.09900000000005</v>
      </c>
      <c r="J383" s="871">
        <f t="shared" si="268"/>
        <v>354.55299999999909</v>
      </c>
      <c r="K383" s="872">
        <f t="shared" si="268"/>
        <v>1257.3589999999999</v>
      </c>
      <c r="L383" s="871">
        <f t="shared" si="268"/>
        <v>400.90299999999991</v>
      </c>
      <c r="M383" s="871">
        <f t="shared" si="268"/>
        <v>425.55899999999997</v>
      </c>
      <c r="N383" s="871">
        <f t="shared" si="268"/>
        <v>455.03800000000001</v>
      </c>
      <c r="O383" s="871">
        <f t="shared" si="268"/>
        <v>470.39599999999973</v>
      </c>
      <c r="P383" s="872">
        <f t="shared" si="268"/>
        <v>1751.8959999999997</v>
      </c>
      <c r="Q383" s="871">
        <f t="shared" si="268"/>
        <v>526.72799999999984</v>
      </c>
      <c r="R383" s="871">
        <f t="shared" si="268"/>
        <v>522.94200000000001</v>
      </c>
      <c r="S383" s="871">
        <f t="shared" si="268"/>
        <v>564.39699999999993</v>
      </c>
      <c r="T383" s="871">
        <f t="shared" si="268"/>
        <v>573.96800000000076</v>
      </c>
      <c r="U383" s="872">
        <f t="shared" si="268"/>
        <v>2188.0350000000008</v>
      </c>
      <c r="V383" s="871">
        <f t="shared" si="268"/>
        <v>539.1550000000002</v>
      </c>
      <c r="W383" s="871">
        <f t="shared" si="268"/>
        <v>579.80700000000024</v>
      </c>
      <c r="X383" s="871">
        <f t="shared" si="268"/>
        <v>696.42000000000007</v>
      </c>
      <c r="Y383" s="871">
        <f t="shared" si="268"/>
        <v>757.82499999999936</v>
      </c>
      <c r="Z383" s="872">
        <f t="shared" si="268"/>
        <v>2573.2069999999994</v>
      </c>
      <c r="AA383" s="871">
        <f t="shared" si="268"/>
        <v>895.90400000000022</v>
      </c>
      <c r="AB383" s="871">
        <f t="shared" si="268"/>
        <v>793.76800000000003</v>
      </c>
      <c r="AC383" s="871">
        <f t="shared" si="268"/>
        <v>898.61999999999989</v>
      </c>
      <c r="AD383" s="871">
        <f t="shared" si="268"/>
        <v>1071.4209999999998</v>
      </c>
      <c r="AE383" s="872">
        <f t="shared" si="268"/>
        <v>3659.7129999999997</v>
      </c>
      <c r="AF383" s="871">
        <f t="shared" si="268"/>
        <v>1400.277</v>
      </c>
      <c r="AG383" s="871">
        <f t="shared" si="268"/>
        <v>1504.8389999999999</v>
      </c>
      <c r="AH383" s="871">
        <f t="shared" si="268"/>
        <v>1468.2459999999996</v>
      </c>
      <c r="AI383" s="871">
        <f t="shared" ref="AI383:BD383" si="269">AI379-SUM(AI382:AI382)</f>
        <v>1453.4410000000003</v>
      </c>
      <c r="AJ383" s="872">
        <f t="shared" si="269"/>
        <v>5826.8029999999999</v>
      </c>
      <c r="AK383" s="871">
        <f t="shared" si="269"/>
        <v>1650.3780000000002</v>
      </c>
      <c r="AL383" s="871">
        <f t="shared" si="269"/>
        <v>1917.4589999999998</v>
      </c>
      <c r="AM383" s="871">
        <f t="shared" si="269"/>
        <v>2146.9859999999999</v>
      </c>
      <c r="AN383" s="871">
        <f t="shared" si="269"/>
        <v>2001.4110000000001</v>
      </c>
      <c r="AO383" s="872">
        <f t="shared" si="269"/>
        <v>7716.2340000000004</v>
      </c>
      <c r="AP383" s="871">
        <f t="shared" si="269"/>
        <v>2167.9899999999998</v>
      </c>
      <c r="AQ383" s="871">
        <f t="shared" si="269"/>
        <v>2504.5790000000002</v>
      </c>
      <c r="AR383" s="871">
        <f t="shared" si="269"/>
        <v>2567.8859999999995</v>
      </c>
      <c r="AS383" s="871">
        <f t="shared" si="269"/>
        <v>2479.2820000000038</v>
      </c>
      <c r="AT383" s="872">
        <f t="shared" si="269"/>
        <v>9719.737000000001</v>
      </c>
      <c r="AU383" s="871">
        <f t="shared" si="269"/>
        <v>3294.7710000000002</v>
      </c>
      <c r="AV383" s="871">
        <f t="shared" si="269"/>
        <v>3323.7690000000002</v>
      </c>
      <c r="AW383" s="873">
        <f t="shared" si="269"/>
        <v>3276.8779999999997</v>
      </c>
      <c r="AX383" s="870">
        <f>AX214</f>
        <v>2686.7418535681209</v>
      </c>
      <c r="AY383" s="869">
        <f t="shared" si="269"/>
        <v>12582.159853568122</v>
      </c>
      <c r="AZ383" s="870">
        <f>AZ214</f>
        <v>3666.3019678179026</v>
      </c>
      <c r="BA383" s="870">
        <f>BA214</f>
        <v>3771.1120086710916</v>
      </c>
      <c r="BB383" s="870">
        <f>BB214</f>
        <v>3839.9498519545896</v>
      </c>
      <c r="BC383" s="870">
        <f>BC214</f>
        <v>3788.7577925183914</v>
      </c>
      <c r="BD383" s="869">
        <f t="shared" si="269"/>
        <v>15066.121620961974</v>
      </c>
      <c r="BE383" s="869">
        <f>BE214</f>
        <v>18079.480469477719</v>
      </c>
      <c r="BF383" s="869">
        <f>BF214</f>
        <v>21569.684558061428</v>
      </c>
      <c r="BG383" s="869">
        <f>BG214</f>
        <v>26198.828264290518</v>
      </c>
      <c r="BH383" s="824"/>
    </row>
    <row r="384" spans="1:60" customFormat="1" x14ac:dyDescent="0.25">
      <c r="A384" s="494"/>
      <c r="B384" s="423"/>
      <c r="C384" s="874"/>
      <c r="D384" s="874"/>
      <c r="E384" s="874"/>
      <c r="F384" s="874"/>
      <c r="G384" s="879"/>
      <c r="H384" s="879"/>
      <c r="I384" s="879"/>
      <c r="J384" s="879"/>
      <c r="K384" s="874"/>
      <c r="L384" s="879"/>
      <c r="M384" s="879"/>
      <c r="N384" s="879"/>
      <c r="O384" s="879"/>
      <c r="P384" s="874"/>
      <c r="Q384" s="879"/>
      <c r="R384" s="879"/>
      <c r="S384" s="879"/>
      <c r="T384" s="879"/>
      <c r="U384" s="874"/>
      <c r="V384" s="879"/>
      <c r="W384" s="879"/>
      <c r="X384" s="879"/>
      <c r="Y384" s="879"/>
      <c r="Z384" s="874"/>
      <c r="AA384" s="879"/>
      <c r="AB384" s="879"/>
      <c r="AC384" s="879"/>
      <c r="AD384" s="879"/>
      <c r="AE384" s="874"/>
      <c r="AF384" s="879"/>
      <c r="AG384" s="879"/>
      <c r="AH384" s="879"/>
      <c r="AI384" s="879"/>
      <c r="AJ384" s="874"/>
      <c r="AK384" s="879"/>
      <c r="AL384" s="879"/>
      <c r="AM384" s="879"/>
      <c r="AN384" s="879"/>
      <c r="AO384" s="874"/>
      <c r="AP384" s="879"/>
      <c r="AQ384" s="879"/>
      <c r="AR384" s="879"/>
      <c r="AS384" s="879"/>
      <c r="AT384" s="874"/>
      <c r="AU384" s="879"/>
      <c r="AV384" s="879"/>
      <c r="AW384" s="880"/>
      <c r="AX384" s="879"/>
      <c r="AY384" s="874"/>
      <c r="AZ384" s="879"/>
      <c r="BA384" s="879"/>
      <c r="BB384" s="879"/>
      <c r="BC384" s="879"/>
      <c r="BD384" s="874"/>
      <c r="BE384" s="874"/>
      <c r="BF384" s="874"/>
      <c r="BG384" s="874"/>
      <c r="BH384" s="824"/>
    </row>
    <row r="385" spans="1:60" customFormat="1" x14ac:dyDescent="0.25">
      <c r="A385" s="367" t="s">
        <v>83</v>
      </c>
      <c r="B385" s="289"/>
      <c r="C385" s="865">
        <f t="shared" ref="C385:AW385" si="270">C340</f>
        <v>114.542</v>
      </c>
      <c r="D385" s="865">
        <f t="shared" si="270"/>
        <v>163.32900000000001</v>
      </c>
      <c r="E385" s="865">
        <f t="shared" si="270"/>
        <v>259.03300000000002</v>
      </c>
      <c r="F385" s="865">
        <f t="shared" si="270"/>
        <v>329.00799999999998</v>
      </c>
      <c r="G385" s="866">
        <f t="shared" si="270"/>
        <v>91.974999999999994</v>
      </c>
      <c r="H385" s="866">
        <f t="shared" si="270"/>
        <v>93.126000000000005</v>
      </c>
      <c r="I385" s="866">
        <f t="shared" si="270"/>
        <v>95.54</v>
      </c>
      <c r="J385" s="866">
        <f t="shared" si="270"/>
        <v>98.127999999999972</v>
      </c>
      <c r="K385" s="865">
        <f t="shared" si="270"/>
        <v>378.76900000000001</v>
      </c>
      <c r="L385" s="866">
        <f t="shared" si="270"/>
        <v>110.31</v>
      </c>
      <c r="M385" s="866">
        <f t="shared" si="270"/>
        <v>115.182</v>
      </c>
      <c r="N385" s="866">
        <f t="shared" si="270"/>
        <v>120.953</v>
      </c>
      <c r="O385" s="866">
        <f t="shared" si="270"/>
        <v>125.876</v>
      </c>
      <c r="P385" s="865">
        <f t="shared" si="270"/>
        <v>472.32100000000003</v>
      </c>
      <c r="Q385" s="866">
        <f t="shared" si="270"/>
        <v>143.10599999999999</v>
      </c>
      <c r="R385" s="866">
        <f t="shared" si="270"/>
        <v>155.06100000000001</v>
      </c>
      <c r="S385" s="866">
        <f t="shared" si="270"/>
        <v>171.762</v>
      </c>
      <c r="T385" s="866">
        <f t="shared" si="270"/>
        <v>180.85899999999998</v>
      </c>
      <c r="U385" s="865">
        <f t="shared" si="270"/>
        <v>650.78800000000001</v>
      </c>
      <c r="V385" s="866">
        <f t="shared" si="270"/>
        <v>186.61</v>
      </c>
      <c r="W385" s="866">
        <f t="shared" si="270"/>
        <v>190.20400000000001</v>
      </c>
      <c r="X385" s="866">
        <f t="shared" si="270"/>
        <v>197.506</v>
      </c>
      <c r="Y385" s="866">
        <f t="shared" si="270"/>
        <v>205.91200000000001</v>
      </c>
      <c r="Z385" s="865">
        <f t="shared" si="270"/>
        <v>780.23199999999997</v>
      </c>
      <c r="AA385" s="866">
        <f t="shared" si="270"/>
        <v>233.87100000000001</v>
      </c>
      <c r="AB385" s="866">
        <f t="shared" si="270"/>
        <v>242.48400000000001</v>
      </c>
      <c r="AC385" s="866">
        <f t="shared" si="270"/>
        <v>230.22300000000001</v>
      </c>
      <c r="AD385" s="866">
        <f t="shared" si="270"/>
        <v>247.13200000000001</v>
      </c>
      <c r="AE385" s="865">
        <f t="shared" si="270"/>
        <v>953.71</v>
      </c>
      <c r="AF385" s="866">
        <f t="shared" si="270"/>
        <v>282.31</v>
      </c>
      <c r="AG385" s="866">
        <f t="shared" si="270"/>
        <v>299.09500000000003</v>
      </c>
      <c r="AH385" s="866">
        <f t="shared" si="270"/>
        <v>308.62</v>
      </c>
      <c r="AI385" s="866">
        <f t="shared" si="270"/>
        <v>331.7890000000001</v>
      </c>
      <c r="AJ385" s="865">
        <f t="shared" si="270"/>
        <v>1221.8140000000001</v>
      </c>
      <c r="AK385" s="866">
        <f t="shared" si="270"/>
        <v>372.76400000000001</v>
      </c>
      <c r="AL385" s="866">
        <f t="shared" si="270"/>
        <v>383.233</v>
      </c>
      <c r="AM385" s="866">
        <f t="shared" si="270"/>
        <v>379.77600000000001</v>
      </c>
      <c r="AN385" s="866">
        <f t="shared" si="270"/>
        <v>409.37599999999981</v>
      </c>
      <c r="AO385" s="865">
        <f t="shared" si="270"/>
        <v>1545.1489999999999</v>
      </c>
      <c r="AP385" s="866">
        <f t="shared" si="270"/>
        <v>453.81700000000001</v>
      </c>
      <c r="AQ385" s="866">
        <f t="shared" si="270"/>
        <v>435.04500000000002</v>
      </c>
      <c r="AR385" s="866">
        <f t="shared" si="270"/>
        <v>453.80200000000002</v>
      </c>
      <c r="AS385" s="866">
        <f t="shared" si="270"/>
        <v>486.93599999999981</v>
      </c>
      <c r="AT385" s="865">
        <f t="shared" si="270"/>
        <v>1829.6</v>
      </c>
      <c r="AU385" s="866">
        <f t="shared" si="270"/>
        <v>525.20699999999999</v>
      </c>
      <c r="AV385" s="866">
        <f t="shared" si="270"/>
        <v>537.32100000000003</v>
      </c>
      <c r="AW385" s="878">
        <f t="shared" si="270"/>
        <v>563.88699999999994</v>
      </c>
      <c r="AX385" s="867">
        <f>AX220</f>
        <v>720.46753389287824</v>
      </c>
      <c r="AY385" s="864">
        <f>SUM(AU385,AV385,AW385,AX385)</f>
        <v>2346.8825338928782</v>
      </c>
      <c r="AZ385" s="867">
        <f>AZ220</f>
        <v>582.40144049150933</v>
      </c>
      <c r="BA385" s="867">
        <f>BA220</f>
        <v>597.9860535534807</v>
      </c>
      <c r="BB385" s="867">
        <f>BB220</f>
        <v>633.56396352486729</v>
      </c>
      <c r="BC385" s="867">
        <f>BC220</f>
        <v>760.80648107172556</v>
      </c>
      <c r="BD385" s="864">
        <f>SUM(AZ385,BA385,BB385,BC385)</f>
        <v>2574.7579386415828</v>
      </c>
      <c r="BE385" s="864">
        <f>BE220</f>
        <v>2886.9645675331126</v>
      </c>
      <c r="BF385" s="864">
        <f>BF220</f>
        <v>3264.7003105487861</v>
      </c>
      <c r="BG385" s="864">
        <f>BG220</f>
        <v>3700.2008058959941</v>
      </c>
      <c r="BH385" s="821"/>
    </row>
    <row r="386" spans="1:60" customFormat="1" x14ac:dyDescent="0.25">
      <c r="A386" s="367" t="s">
        <v>84</v>
      </c>
      <c r="B386" s="289"/>
      <c r="C386" s="865">
        <f t="shared" ref="C386:AW386" si="271">C339</f>
        <v>237.744</v>
      </c>
      <c r="D386" s="865">
        <f t="shared" si="271"/>
        <v>293.839</v>
      </c>
      <c r="E386" s="865">
        <f t="shared" si="271"/>
        <v>402.63799999999998</v>
      </c>
      <c r="F386" s="865">
        <f t="shared" si="271"/>
        <v>439.20800000000003</v>
      </c>
      <c r="G386" s="866">
        <f t="shared" si="271"/>
        <v>119.086</v>
      </c>
      <c r="H386" s="866">
        <f t="shared" si="271"/>
        <v>114.611</v>
      </c>
      <c r="I386" s="866">
        <f t="shared" si="271"/>
        <v>108.22799999999999</v>
      </c>
      <c r="J386" s="866">
        <f t="shared" si="271"/>
        <v>128.017</v>
      </c>
      <c r="K386" s="865">
        <f t="shared" si="271"/>
        <v>469.94200000000001</v>
      </c>
      <c r="L386" s="866">
        <f t="shared" si="271"/>
        <v>137.09800000000001</v>
      </c>
      <c r="M386" s="866">
        <f t="shared" si="271"/>
        <v>120.76300000000001</v>
      </c>
      <c r="N386" s="866">
        <f t="shared" si="271"/>
        <v>145.654</v>
      </c>
      <c r="O386" s="866">
        <f t="shared" si="271"/>
        <v>203.67100000000005</v>
      </c>
      <c r="P386" s="865">
        <f t="shared" si="271"/>
        <v>607.18600000000004</v>
      </c>
      <c r="Q386" s="866">
        <f t="shared" si="271"/>
        <v>194.67699999999999</v>
      </c>
      <c r="R386" s="866">
        <f t="shared" si="271"/>
        <v>197.14</v>
      </c>
      <c r="S386" s="866">
        <f t="shared" si="271"/>
        <v>208.102</v>
      </c>
      <c r="T386" s="866">
        <f t="shared" si="271"/>
        <v>224.17299999999997</v>
      </c>
      <c r="U386" s="865">
        <f t="shared" si="271"/>
        <v>824.09199999999998</v>
      </c>
      <c r="V386" s="866">
        <f t="shared" si="271"/>
        <v>231.465</v>
      </c>
      <c r="W386" s="866">
        <f t="shared" si="271"/>
        <v>240.59</v>
      </c>
      <c r="X386" s="866">
        <f t="shared" si="271"/>
        <v>311.017</v>
      </c>
      <c r="Y386" s="866">
        <f t="shared" si="271"/>
        <v>314.447</v>
      </c>
      <c r="Z386" s="865">
        <f t="shared" si="271"/>
        <v>1097.519</v>
      </c>
      <c r="AA386" s="866">
        <f t="shared" si="271"/>
        <v>306.14800000000002</v>
      </c>
      <c r="AB386" s="866">
        <f t="shared" si="271"/>
        <v>311.16000000000003</v>
      </c>
      <c r="AC386" s="866">
        <f t="shared" si="271"/>
        <v>352.44600000000003</v>
      </c>
      <c r="AD386" s="866">
        <f t="shared" si="271"/>
        <v>466.52699999999999</v>
      </c>
      <c r="AE386" s="865">
        <f t="shared" si="271"/>
        <v>1436.2809999999999</v>
      </c>
      <c r="AF386" s="866">
        <f t="shared" si="271"/>
        <v>536.77700000000004</v>
      </c>
      <c r="AG386" s="866">
        <f t="shared" si="271"/>
        <v>592.00699999999995</v>
      </c>
      <c r="AH386" s="866">
        <f t="shared" si="271"/>
        <v>510.33</v>
      </c>
      <c r="AI386" s="866">
        <f t="shared" si="271"/>
        <v>730.35500000000002</v>
      </c>
      <c r="AJ386" s="865">
        <f t="shared" si="271"/>
        <v>2369.4690000000001</v>
      </c>
      <c r="AK386" s="866">
        <f t="shared" si="271"/>
        <v>616.57799999999997</v>
      </c>
      <c r="AL386" s="866">
        <f t="shared" si="271"/>
        <v>603.15</v>
      </c>
      <c r="AM386" s="866">
        <f t="shared" si="271"/>
        <v>553.79700000000003</v>
      </c>
      <c r="AN386" s="866">
        <f t="shared" si="271"/>
        <v>878.9369999999999</v>
      </c>
      <c r="AO386" s="865">
        <f t="shared" si="271"/>
        <v>2652.462</v>
      </c>
      <c r="AP386" s="866">
        <f t="shared" si="271"/>
        <v>503.83</v>
      </c>
      <c r="AQ386" s="866">
        <f t="shared" si="271"/>
        <v>434.37</v>
      </c>
      <c r="AR386" s="866">
        <f t="shared" si="271"/>
        <v>527.59699999999998</v>
      </c>
      <c r="AS386" s="866">
        <f t="shared" si="271"/>
        <v>762.56500000000028</v>
      </c>
      <c r="AT386" s="865">
        <f t="shared" si="271"/>
        <v>2228.3620000000001</v>
      </c>
      <c r="AU386" s="866">
        <f t="shared" si="271"/>
        <v>512.51199999999994</v>
      </c>
      <c r="AV386" s="866">
        <f t="shared" si="271"/>
        <v>603.97299999999996</v>
      </c>
      <c r="AW386" s="878">
        <f t="shared" si="271"/>
        <v>635.94799999999998</v>
      </c>
      <c r="AX386" s="867">
        <f>AX225</f>
        <v>1025.4045487045014</v>
      </c>
      <c r="AY386" s="864">
        <f>SUM(AU386,AV386,AW386,AX386)</f>
        <v>2777.8375487045014</v>
      </c>
      <c r="AZ386" s="867">
        <f>AZ225</f>
        <v>568.22730926979523</v>
      </c>
      <c r="BA386" s="867">
        <f>BA225</f>
        <v>672.67350434294144</v>
      </c>
      <c r="BB386" s="867">
        <f>BB225</f>
        <v>710.83789201722152</v>
      </c>
      <c r="BC386" s="867">
        <f>BC225</f>
        <v>1104.9520843715079</v>
      </c>
      <c r="BD386" s="864">
        <f>SUM(AZ386,BA386,BB386,BC386)</f>
        <v>3056.6907900014662</v>
      </c>
      <c r="BE386" s="864">
        <f>BE225</f>
        <v>3430.8633350335454</v>
      </c>
      <c r="BF386" s="864">
        <f>BF225</f>
        <v>3883.8062252368445</v>
      </c>
      <c r="BG386" s="864">
        <f>BG225</f>
        <v>4406.5357588779316</v>
      </c>
      <c r="BH386" s="821"/>
    </row>
    <row r="387" spans="1:60" customFormat="1" x14ac:dyDescent="0.25">
      <c r="A387" s="113" t="s">
        <v>85</v>
      </c>
      <c r="B387" s="441"/>
      <c r="C387" s="886">
        <f t="shared" ref="C387:AW387" si="272">C341</f>
        <v>46.773000000000003</v>
      </c>
      <c r="D387" s="886">
        <f t="shared" si="272"/>
        <v>64.460999999999999</v>
      </c>
      <c r="E387" s="886">
        <f t="shared" si="272"/>
        <v>126.937</v>
      </c>
      <c r="F387" s="886">
        <f t="shared" si="272"/>
        <v>139.01599999999999</v>
      </c>
      <c r="G387" s="885">
        <f t="shared" si="272"/>
        <v>44.125999999999998</v>
      </c>
      <c r="H387" s="885">
        <f t="shared" si="272"/>
        <v>43.844000000000001</v>
      </c>
      <c r="I387" s="885">
        <f t="shared" si="272"/>
        <v>46.210999999999999</v>
      </c>
      <c r="J387" s="885">
        <f t="shared" si="272"/>
        <v>46.11999999999999</v>
      </c>
      <c r="K387" s="886">
        <f t="shared" si="272"/>
        <v>180.30099999999999</v>
      </c>
      <c r="L387" s="885">
        <f t="shared" si="272"/>
        <v>55.9</v>
      </c>
      <c r="M387" s="885">
        <f t="shared" si="272"/>
        <v>60.014000000000003</v>
      </c>
      <c r="N387" s="885">
        <f t="shared" si="272"/>
        <v>78.024000000000001</v>
      </c>
      <c r="O387" s="885">
        <f t="shared" si="272"/>
        <v>75.802999999999969</v>
      </c>
      <c r="P387" s="886">
        <f t="shared" si="272"/>
        <v>269.74099999999999</v>
      </c>
      <c r="Q387" s="885">
        <f t="shared" si="272"/>
        <v>91.489000000000004</v>
      </c>
      <c r="R387" s="885">
        <f t="shared" si="272"/>
        <v>95.906000000000006</v>
      </c>
      <c r="S387" s="885">
        <f t="shared" si="272"/>
        <v>110.892</v>
      </c>
      <c r="T387" s="885">
        <f t="shared" si="272"/>
        <v>109.04200000000003</v>
      </c>
      <c r="U387" s="886">
        <f t="shared" si="272"/>
        <v>407.32900000000001</v>
      </c>
      <c r="V387" s="885">
        <f t="shared" si="272"/>
        <v>71.626999999999995</v>
      </c>
      <c r="W387" s="885">
        <f t="shared" si="272"/>
        <v>78.643000000000001</v>
      </c>
      <c r="X387" s="885">
        <f t="shared" si="272"/>
        <v>81.861000000000004</v>
      </c>
      <c r="Y387" s="885">
        <f t="shared" si="272"/>
        <v>83.531999999999996</v>
      </c>
      <c r="Z387" s="886">
        <f t="shared" si="272"/>
        <v>315.66300000000001</v>
      </c>
      <c r="AA387" s="885">
        <f t="shared" si="272"/>
        <v>98.942999999999998</v>
      </c>
      <c r="AB387" s="885">
        <f t="shared" si="272"/>
        <v>112.31699999999999</v>
      </c>
      <c r="AC387" s="885">
        <f t="shared" si="272"/>
        <v>107.324</v>
      </c>
      <c r="AD387" s="885">
        <f t="shared" si="272"/>
        <v>112.459</v>
      </c>
      <c r="AE387" s="886">
        <f t="shared" si="272"/>
        <v>431.04300000000001</v>
      </c>
      <c r="AF387" s="885">
        <f t="shared" si="272"/>
        <v>134.61199999999999</v>
      </c>
      <c r="AG387" s="885">
        <f t="shared" si="272"/>
        <v>151.524</v>
      </c>
      <c r="AH387" s="885">
        <f t="shared" si="272"/>
        <v>168.62799999999999</v>
      </c>
      <c r="AI387" s="885">
        <f t="shared" si="272"/>
        <v>175.53000000000003</v>
      </c>
      <c r="AJ387" s="886">
        <f t="shared" si="272"/>
        <v>630.29399999999998</v>
      </c>
      <c r="AK387" s="885">
        <f t="shared" si="272"/>
        <v>201.952</v>
      </c>
      <c r="AL387" s="885">
        <f t="shared" si="272"/>
        <v>224.65700000000001</v>
      </c>
      <c r="AM387" s="885">
        <f t="shared" si="272"/>
        <v>233.17400000000001</v>
      </c>
      <c r="AN387" s="885">
        <f t="shared" si="272"/>
        <v>254.58599999999998</v>
      </c>
      <c r="AO387" s="886">
        <f t="shared" si="272"/>
        <v>914.36900000000003</v>
      </c>
      <c r="AP387" s="885">
        <f t="shared" si="272"/>
        <v>252.08699999999999</v>
      </c>
      <c r="AQ387" s="885">
        <f t="shared" si="272"/>
        <v>277.23599999999999</v>
      </c>
      <c r="AR387" s="885">
        <f t="shared" si="272"/>
        <v>271.62400000000002</v>
      </c>
      <c r="AS387" s="885">
        <f t="shared" si="272"/>
        <v>275.5390000000001</v>
      </c>
      <c r="AT387" s="886">
        <f t="shared" si="272"/>
        <v>1076.4860000000001</v>
      </c>
      <c r="AU387" s="885">
        <f t="shared" si="272"/>
        <v>297.19600000000003</v>
      </c>
      <c r="AV387" s="885">
        <f t="shared" si="272"/>
        <v>334.84500000000003</v>
      </c>
      <c r="AW387" s="891">
        <f t="shared" si="272"/>
        <v>321.79000000000002</v>
      </c>
      <c r="AX387" s="882">
        <f>AX230</f>
        <v>412.95886225424772</v>
      </c>
      <c r="AY387" s="881">
        <f>SUM(AU387,AV387,AW387,AX387)</f>
        <v>1366.789862254248</v>
      </c>
      <c r="AZ387" s="882">
        <f>AZ230</f>
        <v>327.82421843603504</v>
      </c>
      <c r="BA387" s="882">
        <f>BA230</f>
        <v>358.75956074547884</v>
      </c>
      <c r="BB387" s="882">
        <f>BB230</f>
        <v>347.03861555493836</v>
      </c>
      <c r="BC387" s="882">
        <f>BC230</f>
        <v>448.62406935286543</v>
      </c>
      <c r="BD387" s="881">
        <f>SUM(AZ387,BA387,BB387,BC387)</f>
        <v>1482.2464640893177</v>
      </c>
      <c r="BE387" s="881">
        <f>BE230</f>
        <v>1635.1299054642475</v>
      </c>
      <c r="BF387" s="881">
        <f>BF230</f>
        <v>1839.7692575514204</v>
      </c>
      <c r="BG387" s="881">
        <f>BG230</f>
        <v>2074.503837989429</v>
      </c>
      <c r="BH387" s="821"/>
    </row>
    <row r="388" spans="1:60" customFormat="1" x14ac:dyDescent="0.25">
      <c r="A388" s="61" t="s">
        <v>87</v>
      </c>
      <c r="B388" s="505"/>
      <c r="C388" s="872">
        <f t="shared" ref="C388:AH388" si="273">C383-SUM(C385:C387)</f>
        <v>191.93900000000002</v>
      </c>
      <c r="D388" s="872">
        <f t="shared" si="273"/>
        <v>283.64099999999996</v>
      </c>
      <c r="E388" s="872">
        <f t="shared" si="273"/>
        <v>376.0680000000001</v>
      </c>
      <c r="F388" s="872">
        <f t="shared" si="273"/>
        <v>49.992000000000189</v>
      </c>
      <c r="G388" s="871">
        <f t="shared" si="273"/>
        <v>31.822000000000031</v>
      </c>
      <c r="H388" s="871">
        <f t="shared" si="273"/>
        <v>57.117000000000075</v>
      </c>
      <c r="I388" s="871">
        <f t="shared" si="273"/>
        <v>57.120000000000061</v>
      </c>
      <c r="J388" s="871">
        <f t="shared" si="273"/>
        <v>82.287999999999101</v>
      </c>
      <c r="K388" s="872">
        <f t="shared" si="273"/>
        <v>228.34699999999998</v>
      </c>
      <c r="L388" s="871">
        <f t="shared" si="273"/>
        <v>97.594999999999914</v>
      </c>
      <c r="M388" s="871">
        <f t="shared" si="273"/>
        <v>129.59999999999997</v>
      </c>
      <c r="N388" s="871">
        <f t="shared" si="273"/>
        <v>110.40700000000004</v>
      </c>
      <c r="O388" s="871">
        <f t="shared" si="273"/>
        <v>65.045999999999708</v>
      </c>
      <c r="P388" s="872">
        <f t="shared" si="273"/>
        <v>402.64799999999968</v>
      </c>
      <c r="Q388" s="871">
        <f t="shared" si="273"/>
        <v>97.45599999999979</v>
      </c>
      <c r="R388" s="871">
        <f t="shared" si="273"/>
        <v>74.83499999999998</v>
      </c>
      <c r="S388" s="871">
        <f t="shared" si="273"/>
        <v>73.640999999999906</v>
      </c>
      <c r="T388" s="871">
        <f t="shared" si="273"/>
        <v>59.894000000000801</v>
      </c>
      <c r="U388" s="872">
        <f t="shared" si="273"/>
        <v>305.8260000000007</v>
      </c>
      <c r="V388" s="871">
        <f t="shared" si="273"/>
        <v>49.453000000000145</v>
      </c>
      <c r="W388" s="871">
        <f t="shared" si="273"/>
        <v>70.370000000000232</v>
      </c>
      <c r="X388" s="871">
        <f t="shared" si="273"/>
        <v>106.03600000000006</v>
      </c>
      <c r="Y388" s="871">
        <f t="shared" si="273"/>
        <v>153.93399999999929</v>
      </c>
      <c r="Z388" s="872">
        <f t="shared" si="273"/>
        <v>379.79299999999967</v>
      </c>
      <c r="AA388" s="871">
        <f t="shared" si="273"/>
        <v>256.94200000000023</v>
      </c>
      <c r="AB388" s="871">
        <f t="shared" si="273"/>
        <v>127.80700000000002</v>
      </c>
      <c r="AC388" s="871">
        <f t="shared" si="273"/>
        <v>208.62699999999984</v>
      </c>
      <c r="AD388" s="871">
        <f t="shared" si="273"/>
        <v>245.30299999999988</v>
      </c>
      <c r="AE388" s="872">
        <f t="shared" si="273"/>
        <v>838.67899999999963</v>
      </c>
      <c r="AF388" s="871">
        <f t="shared" si="273"/>
        <v>446.57800000000009</v>
      </c>
      <c r="AG388" s="871">
        <f t="shared" si="273"/>
        <v>462.21299999999997</v>
      </c>
      <c r="AH388" s="871">
        <f t="shared" si="273"/>
        <v>480.66799999999967</v>
      </c>
      <c r="AI388" s="871">
        <f t="shared" ref="AI388:BG388" si="274">AI383-SUM(AI385:AI387)</f>
        <v>215.76700000000005</v>
      </c>
      <c r="AJ388" s="872">
        <f t="shared" si="274"/>
        <v>1605.2259999999997</v>
      </c>
      <c r="AK388" s="871">
        <f t="shared" si="274"/>
        <v>459.08400000000029</v>
      </c>
      <c r="AL388" s="871">
        <f t="shared" si="274"/>
        <v>706.41899999999987</v>
      </c>
      <c r="AM388" s="871">
        <f t="shared" si="274"/>
        <v>980.23899999999981</v>
      </c>
      <c r="AN388" s="871">
        <f t="shared" si="274"/>
        <v>458.5120000000004</v>
      </c>
      <c r="AO388" s="872">
        <f t="shared" si="274"/>
        <v>2604.2540000000008</v>
      </c>
      <c r="AP388" s="871">
        <f t="shared" si="274"/>
        <v>958.25599999999986</v>
      </c>
      <c r="AQ388" s="871">
        <f t="shared" si="274"/>
        <v>1357.9280000000003</v>
      </c>
      <c r="AR388" s="871">
        <f t="shared" si="274"/>
        <v>1314.8629999999994</v>
      </c>
      <c r="AS388" s="871">
        <f t="shared" si="274"/>
        <v>954.24200000000337</v>
      </c>
      <c r="AT388" s="872">
        <f t="shared" si="274"/>
        <v>4585.2890000000007</v>
      </c>
      <c r="AU388" s="871">
        <f t="shared" si="274"/>
        <v>1959.8560000000002</v>
      </c>
      <c r="AV388" s="871">
        <f t="shared" si="274"/>
        <v>1847.6300000000003</v>
      </c>
      <c r="AW388" s="873">
        <f t="shared" si="274"/>
        <v>1755.2529999999997</v>
      </c>
      <c r="AX388" s="870">
        <f t="shared" si="274"/>
        <v>527.9109087164934</v>
      </c>
      <c r="AY388" s="869">
        <f t="shared" si="274"/>
        <v>6090.6499087164948</v>
      </c>
      <c r="AZ388" s="870">
        <f t="shared" si="274"/>
        <v>2187.8489996205631</v>
      </c>
      <c r="BA388" s="870">
        <f t="shared" si="274"/>
        <v>2141.6928900291905</v>
      </c>
      <c r="BB388" s="870">
        <f t="shared" si="274"/>
        <v>2148.5093808575621</v>
      </c>
      <c r="BC388" s="870">
        <f t="shared" si="274"/>
        <v>1474.3751577222924</v>
      </c>
      <c r="BD388" s="869">
        <f t="shared" si="274"/>
        <v>7952.4264282296081</v>
      </c>
      <c r="BE388" s="869">
        <f t="shared" si="274"/>
        <v>10126.522661446814</v>
      </c>
      <c r="BF388" s="869">
        <f t="shared" si="274"/>
        <v>12581.408764724376</v>
      </c>
      <c r="BG388" s="869">
        <f t="shared" si="274"/>
        <v>16017.587861527163</v>
      </c>
      <c r="BH388" s="824"/>
    </row>
    <row r="389" spans="1:60" s="57" customFormat="1" x14ac:dyDescent="0.25">
      <c r="A389" s="63" t="str">
        <f>CONCATENATE("Adjusted ",A388,IF(AND(ROUND(SUM(C388:BH388)-SUM(C389:BH389),6)=0)," (No Adjustments)",""))</f>
        <v>Adjusted EBIT (No Adjustments)</v>
      </c>
      <c r="B389" s="423"/>
      <c r="C389" s="875">
        <f t="shared" ref="C389:AH389" si="275">C388</f>
        <v>191.93900000000002</v>
      </c>
      <c r="D389" s="875">
        <f t="shared" si="275"/>
        <v>283.64099999999996</v>
      </c>
      <c r="E389" s="875">
        <f t="shared" si="275"/>
        <v>376.0680000000001</v>
      </c>
      <c r="F389" s="875">
        <f t="shared" si="275"/>
        <v>49.992000000000189</v>
      </c>
      <c r="G389" s="876">
        <f t="shared" si="275"/>
        <v>31.822000000000031</v>
      </c>
      <c r="H389" s="876">
        <f t="shared" si="275"/>
        <v>57.117000000000075</v>
      </c>
      <c r="I389" s="876">
        <f t="shared" si="275"/>
        <v>57.120000000000061</v>
      </c>
      <c r="J389" s="876">
        <f t="shared" si="275"/>
        <v>82.287999999999101</v>
      </c>
      <c r="K389" s="875">
        <f t="shared" si="275"/>
        <v>228.34699999999998</v>
      </c>
      <c r="L389" s="876">
        <f t="shared" si="275"/>
        <v>97.594999999999914</v>
      </c>
      <c r="M389" s="876">
        <f t="shared" si="275"/>
        <v>129.59999999999997</v>
      </c>
      <c r="N389" s="876">
        <f t="shared" si="275"/>
        <v>110.40700000000004</v>
      </c>
      <c r="O389" s="876">
        <f t="shared" si="275"/>
        <v>65.045999999999708</v>
      </c>
      <c r="P389" s="875">
        <f t="shared" si="275"/>
        <v>402.64799999999968</v>
      </c>
      <c r="Q389" s="876">
        <f t="shared" si="275"/>
        <v>97.45599999999979</v>
      </c>
      <c r="R389" s="876">
        <f t="shared" si="275"/>
        <v>74.83499999999998</v>
      </c>
      <c r="S389" s="876">
        <f t="shared" si="275"/>
        <v>73.640999999999906</v>
      </c>
      <c r="T389" s="876">
        <f t="shared" si="275"/>
        <v>59.894000000000801</v>
      </c>
      <c r="U389" s="875">
        <f t="shared" si="275"/>
        <v>305.8260000000007</v>
      </c>
      <c r="V389" s="876">
        <f t="shared" si="275"/>
        <v>49.453000000000145</v>
      </c>
      <c r="W389" s="876">
        <f t="shared" si="275"/>
        <v>70.370000000000232</v>
      </c>
      <c r="X389" s="876">
        <f t="shared" si="275"/>
        <v>106.03600000000006</v>
      </c>
      <c r="Y389" s="876">
        <f t="shared" si="275"/>
        <v>153.93399999999929</v>
      </c>
      <c r="Z389" s="875">
        <f t="shared" si="275"/>
        <v>379.79299999999967</v>
      </c>
      <c r="AA389" s="876">
        <f t="shared" si="275"/>
        <v>256.94200000000023</v>
      </c>
      <c r="AB389" s="876">
        <f t="shared" si="275"/>
        <v>127.80700000000002</v>
      </c>
      <c r="AC389" s="876">
        <f t="shared" si="275"/>
        <v>208.62699999999984</v>
      </c>
      <c r="AD389" s="876">
        <f t="shared" si="275"/>
        <v>245.30299999999988</v>
      </c>
      <c r="AE389" s="875">
        <f t="shared" si="275"/>
        <v>838.67899999999963</v>
      </c>
      <c r="AF389" s="876">
        <f t="shared" si="275"/>
        <v>446.57800000000009</v>
      </c>
      <c r="AG389" s="876">
        <f t="shared" si="275"/>
        <v>462.21299999999997</v>
      </c>
      <c r="AH389" s="876">
        <f t="shared" si="275"/>
        <v>480.66799999999967</v>
      </c>
      <c r="AI389" s="876">
        <f t="shared" ref="AI389:BG389" si="276">AI388</f>
        <v>215.76700000000005</v>
      </c>
      <c r="AJ389" s="875">
        <f t="shared" si="276"/>
        <v>1605.2259999999997</v>
      </c>
      <c r="AK389" s="876">
        <f t="shared" si="276"/>
        <v>459.08400000000029</v>
      </c>
      <c r="AL389" s="876">
        <f t="shared" si="276"/>
        <v>706.41899999999987</v>
      </c>
      <c r="AM389" s="876">
        <f t="shared" si="276"/>
        <v>980.23899999999981</v>
      </c>
      <c r="AN389" s="876">
        <f t="shared" si="276"/>
        <v>458.5120000000004</v>
      </c>
      <c r="AO389" s="875">
        <f t="shared" si="276"/>
        <v>2604.2540000000008</v>
      </c>
      <c r="AP389" s="876">
        <f t="shared" si="276"/>
        <v>958.25599999999986</v>
      </c>
      <c r="AQ389" s="876">
        <f t="shared" si="276"/>
        <v>1357.9280000000003</v>
      </c>
      <c r="AR389" s="876">
        <f t="shared" si="276"/>
        <v>1314.8629999999994</v>
      </c>
      <c r="AS389" s="876">
        <f t="shared" si="276"/>
        <v>954.24200000000337</v>
      </c>
      <c r="AT389" s="875">
        <f t="shared" si="276"/>
        <v>4585.2890000000007</v>
      </c>
      <c r="AU389" s="876">
        <f t="shared" si="276"/>
        <v>1959.8560000000002</v>
      </c>
      <c r="AV389" s="876">
        <f t="shared" si="276"/>
        <v>1847.6300000000003</v>
      </c>
      <c r="AW389" s="877">
        <f t="shared" si="276"/>
        <v>1755.2529999999997</v>
      </c>
      <c r="AX389" s="879">
        <f t="shared" si="276"/>
        <v>527.9109087164934</v>
      </c>
      <c r="AY389" s="874">
        <f t="shared" si="276"/>
        <v>6090.6499087164948</v>
      </c>
      <c r="AZ389" s="879">
        <f t="shared" si="276"/>
        <v>2187.8489996205631</v>
      </c>
      <c r="BA389" s="879">
        <f t="shared" si="276"/>
        <v>2141.6928900291905</v>
      </c>
      <c r="BB389" s="879">
        <f t="shared" si="276"/>
        <v>2148.5093808575621</v>
      </c>
      <c r="BC389" s="879">
        <f t="shared" si="276"/>
        <v>1474.3751577222924</v>
      </c>
      <c r="BD389" s="874">
        <f t="shared" si="276"/>
        <v>7952.4264282296081</v>
      </c>
      <c r="BE389" s="874">
        <f t="shared" si="276"/>
        <v>10126.522661446814</v>
      </c>
      <c r="BF389" s="874">
        <f t="shared" si="276"/>
        <v>12581.408764724376</v>
      </c>
      <c r="BG389" s="874">
        <f t="shared" si="276"/>
        <v>16017.587861527163</v>
      </c>
      <c r="BH389" s="824"/>
    </row>
    <row r="390" spans="1:60" s="57" customFormat="1" x14ac:dyDescent="0.25">
      <c r="A390" s="952" t="s">
        <v>591</v>
      </c>
      <c r="B390" s="951"/>
      <c r="C390" s="900"/>
      <c r="D390" s="900"/>
      <c r="E390" s="900"/>
      <c r="F390" s="900"/>
      <c r="G390" s="901"/>
      <c r="H390" s="901"/>
      <c r="I390" s="901"/>
      <c r="J390" s="901"/>
      <c r="K390" s="900"/>
      <c r="L390" s="901"/>
      <c r="M390" s="901"/>
      <c r="N390" s="901"/>
      <c r="O390" s="901"/>
      <c r="P390" s="900"/>
      <c r="Q390" s="901"/>
      <c r="R390" s="901"/>
      <c r="S390" s="901"/>
      <c r="T390" s="901"/>
      <c r="U390" s="900"/>
      <c r="V390" s="901"/>
      <c r="W390" s="901"/>
      <c r="X390" s="901"/>
      <c r="Y390" s="901"/>
      <c r="Z390" s="900"/>
      <c r="AA390" s="901"/>
      <c r="AB390" s="901"/>
      <c r="AC390" s="901"/>
      <c r="AD390" s="901"/>
      <c r="AE390" s="900"/>
      <c r="AF390" s="901"/>
      <c r="AG390" s="901"/>
      <c r="AH390" s="901"/>
      <c r="AI390" s="901"/>
      <c r="AJ390" s="900"/>
      <c r="AK390" s="901"/>
      <c r="AL390" s="901"/>
      <c r="AM390" s="901"/>
      <c r="AN390" s="901"/>
      <c r="AO390" s="900"/>
      <c r="AP390" s="901"/>
      <c r="AQ390" s="901"/>
      <c r="AR390" s="901"/>
      <c r="AS390" s="901"/>
      <c r="AT390" s="900"/>
      <c r="AU390" s="901"/>
      <c r="AV390" s="901"/>
      <c r="AW390" s="903"/>
      <c r="AX390" s="901" t="str">
        <f t="shared" ref="AX390:BG390" ca="1" si="277">IFERROR(VLOOKUP($A390,tb_ConsensusEstimate,MATCH(AX$5,OFFSET(tb_ConsensusEstimate,0,0,1,COLUMNS(tb_ConsensusEstimate)),0),FALSE),"-")</f>
        <v>N/A</v>
      </c>
      <c r="AY390" s="900" t="str">
        <f t="shared" ca="1" si="277"/>
        <v>N/A</v>
      </c>
      <c r="AZ390" s="901" t="str">
        <f t="shared" ca="1" si="277"/>
        <v>N/A</v>
      </c>
      <c r="BA390" s="901" t="str">
        <f t="shared" ca="1" si="277"/>
        <v>N/A</v>
      </c>
      <c r="BB390" s="901" t="str">
        <f t="shared" ca="1" si="277"/>
        <v>N/A</v>
      </c>
      <c r="BC390" s="901" t="str">
        <f t="shared" ca="1" si="277"/>
        <v>N/A</v>
      </c>
      <c r="BD390" s="900" t="str">
        <f t="shared" ca="1" si="277"/>
        <v>N/A</v>
      </c>
      <c r="BE390" s="900" t="str">
        <f t="shared" ca="1" si="277"/>
        <v>N/A</v>
      </c>
      <c r="BF390" s="900" t="str">
        <f t="shared" ca="1" si="277"/>
        <v>N/A</v>
      </c>
      <c r="BG390" s="900" t="str">
        <f t="shared" ca="1" si="277"/>
        <v>N/A</v>
      </c>
      <c r="BH390" s="824"/>
    </row>
    <row r="391" spans="1:60" customFormat="1" x14ac:dyDescent="0.25">
      <c r="A391" s="509"/>
      <c r="B391" s="510"/>
      <c r="C391" s="325"/>
      <c r="D391" s="325"/>
      <c r="E391" s="325"/>
      <c r="F391" s="325"/>
      <c r="G391" s="168"/>
      <c r="H391" s="168"/>
      <c r="I391" s="168"/>
      <c r="J391" s="168"/>
      <c r="K391" s="325"/>
      <c r="L391" s="168"/>
      <c r="M391" s="168"/>
      <c r="N391" s="168"/>
      <c r="O391" s="168"/>
      <c r="P391" s="325"/>
      <c r="Q391" s="168"/>
      <c r="R391" s="168"/>
      <c r="S391" s="168"/>
      <c r="T391" s="168"/>
      <c r="U391" s="325"/>
      <c r="V391" s="168"/>
      <c r="W391" s="168"/>
      <c r="X391" s="168"/>
      <c r="Y391" s="168"/>
      <c r="Z391" s="325"/>
      <c r="AA391" s="168"/>
      <c r="AB391" s="168"/>
      <c r="AC391" s="168"/>
      <c r="AD391" s="168"/>
      <c r="AE391" s="325"/>
      <c r="AF391" s="168"/>
      <c r="AG391" s="168"/>
      <c r="AH391" s="168"/>
      <c r="AI391" s="168"/>
      <c r="AJ391" s="325"/>
      <c r="AK391" s="168"/>
      <c r="AL391" s="168"/>
      <c r="AM391" s="168"/>
      <c r="AN391" s="168"/>
      <c r="AO391" s="325"/>
      <c r="AP391" s="168"/>
      <c r="AQ391" s="168"/>
      <c r="AR391" s="168"/>
      <c r="AS391" s="168"/>
      <c r="AT391" s="325"/>
      <c r="AU391" s="168"/>
      <c r="AV391" s="168"/>
      <c r="AW391" s="579"/>
      <c r="AX391" s="168"/>
      <c r="AY391" s="325"/>
      <c r="AZ391" s="168"/>
      <c r="BA391" s="168"/>
      <c r="BB391" s="168"/>
      <c r="BC391" s="168"/>
      <c r="BD391" s="325"/>
      <c r="BE391" s="325"/>
      <c r="BF391" s="325"/>
      <c r="BG391" s="325"/>
      <c r="BH391" s="67"/>
    </row>
    <row r="392" spans="1:60" customFormat="1" x14ac:dyDescent="0.25">
      <c r="A392" s="178" t="s">
        <v>596</v>
      </c>
      <c r="B392" s="289"/>
      <c r="C392" s="864">
        <f t="shared" ref="C392:AW392" si="278">C560</f>
        <v>38.043999999999997</v>
      </c>
      <c r="D392" s="864">
        <f t="shared" si="278"/>
        <v>38.098999999999997</v>
      </c>
      <c r="E392" s="864">
        <f t="shared" si="278"/>
        <v>43.747</v>
      </c>
      <c r="F392" s="864">
        <f t="shared" si="278"/>
        <v>45.469000000000001</v>
      </c>
      <c r="G392" s="867">
        <f t="shared" si="278"/>
        <v>12.051</v>
      </c>
      <c r="H392" s="867">
        <f t="shared" si="278"/>
        <v>12.026000000000002</v>
      </c>
      <c r="I392" s="867">
        <f t="shared" si="278"/>
        <v>11.452000000000002</v>
      </c>
      <c r="J392" s="867">
        <f t="shared" si="278"/>
        <v>12.844999999999999</v>
      </c>
      <c r="K392" s="864">
        <f t="shared" si="278"/>
        <v>48.374000000000002</v>
      </c>
      <c r="L392" s="867">
        <f t="shared" si="278"/>
        <v>12.382</v>
      </c>
      <c r="M392" s="867">
        <f t="shared" si="278"/>
        <v>12.977000000000002</v>
      </c>
      <c r="N392" s="867">
        <f t="shared" si="278"/>
        <v>14.356999999999999</v>
      </c>
      <c r="O392" s="867">
        <f t="shared" si="278"/>
        <v>14.311999999999998</v>
      </c>
      <c r="P392" s="864">
        <f t="shared" si="278"/>
        <v>54.027999999999999</v>
      </c>
      <c r="Q392" s="867">
        <f t="shared" si="278"/>
        <v>15.167</v>
      </c>
      <c r="R392" s="867">
        <f t="shared" si="278"/>
        <v>15.581000000000001</v>
      </c>
      <c r="S392" s="867">
        <f t="shared" si="278"/>
        <v>16.047000000000001</v>
      </c>
      <c r="T392" s="867">
        <f t="shared" si="278"/>
        <v>15.488</v>
      </c>
      <c r="U392" s="864">
        <f t="shared" si="278"/>
        <v>62.283000000000001</v>
      </c>
      <c r="V392" s="867">
        <f t="shared" si="278"/>
        <v>14.798</v>
      </c>
      <c r="W392" s="867">
        <f t="shared" si="278"/>
        <v>14.130999999999998</v>
      </c>
      <c r="X392" s="867">
        <f t="shared" si="278"/>
        <v>14.41</v>
      </c>
      <c r="Y392" s="867">
        <f t="shared" si="278"/>
        <v>14.189</v>
      </c>
      <c r="Z392" s="864">
        <f t="shared" si="278"/>
        <v>57.527999999999999</v>
      </c>
      <c r="AA392" s="867">
        <f t="shared" si="278"/>
        <v>15.048999999999999</v>
      </c>
      <c r="AB392" s="867">
        <f t="shared" si="278"/>
        <v>18.551000000000002</v>
      </c>
      <c r="AC392" s="867">
        <f t="shared" si="278"/>
        <v>19.238</v>
      </c>
      <c r="AD392" s="867">
        <f t="shared" si="278"/>
        <v>19.073</v>
      </c>
      <c r="AE392" s="864">
        <f t="shared" si="278"/>
        <v>71.911000000000001</v>
      </c>
      <c r="AF392" s="867">
        <f t="shared" si="278"/>
        <v>19.041</v>
      </c>
      <c r="AG392" s="867">
        <f t="shared" si="278"/>
        <v>19.736000000000001</v>
      </c>
      <c r="AH392" s="867">
        <f t="shared" si="278"/>
        <v>21.161000000000001</v>
      </c>
      <c r="AI392" s="867">
        <f t="shared" si="278"/>
        <v>23.218999999999994</v>
      </c>
      <c r="AJ392" s="864">
        <f t="shared" si="278"/>
        <v>83.156999999999996</v>
      </c>
      <c r="AK392" s="867">
        <f t="shared" si="278"/>
        <v>23.561</v>
      </c>
      <c r="AL392" s="867">
        <f t="shared" si="278"/>
        <v>25.496000000000002</v>
      </c>
      <c r="AM392" s="867">
        <f t="shared" si="278"/>
        <v>26.703999999999994</v>
      </c>
      <c r="AN392" s="867">
        <f t="shared" si="278"/>
        <v>27.817999999999998</v>
      </c>
      <c r="AO392" s="864">
        <f t="shared" si="278"/>
        <v>103.57899999999999</v>
      </c>
      <c r="AP392" s="867">
        <f t="shared" si="278"/>
        <v>28.516999999999999</v>
      </c>
      <c r="AQ392" s="867">
        <f t="shared" si="278"/>
        <v>26.660999999999998</v>
      </c>
      <c r="AR392" s="867">
        <f t="shared" si="278"/>
        <v>28.588999999999999</v>
      </c>
      <c r="AS392" s="867">
        <f t="shared" si="278"/>
        <v>31.942999999999998</v>
      </c>
      <c r="AT392" s="864">
        <f t="shared" si="278"/>
        <v>115.71</v>
      </c>
      <c r="AU392" s="867">
        <f t="shared" si="278"/>
        <v>35.741</v>
      </c>
      <c r="AV392" s="867">
        <f t="shared" si="278"/>
        <v>38.433999999999997</v>
      </c>
      <c r="AW392" s="868">
        <f t="shared" si="278"/>
        <v>70.253</v>
      </c>
      <c r="AX392" s="867">
        <f>-AX628</f>
        <v>76.883895890410955</v>
      </c>
      <c r="AY392" s="864">
        <f>SUM(AU392,AV392,AW392,AX392)</f>
        <v>221.31189589041094</v>
      </c>
      <c r="AZ392" s="867">
        <f>-AZ628</f>
        <v>67.440975510602371</v>
      </c>
      <c r="BA392" s="867">
        <f>-BA628</f>
        <v>69.976159875484157</v>
      </c>
      <c r="BB392" s="867">
        <f>-BB628</f>
        <v>72.41001229305121</v>
      </c>
      <c r="BC392" s="867">
        <f>-BC628</f>
        <v>73.939933803157075</v>
      </c>
      <c r="BD392" s="864">
        <f>SUM(AZ392,BA392,BB392,BC392)</f>
        <v>283.76708148229483</v>
      </c>
      <c r="BE392" s="864">
        <f>-BE628</f>
        <v>299.08186497800472</v>
      </c>
      <c r="BF392" s="864">
        <f>-BF628</f>
        <v>321.2838546828437</v>
      </c>
      <c r="BG392" s="864">
        <f>-BG628</f>
        <v>338.6014066526181</v>
      </c>
      <c r="BH392" s="821"/>
    </row>
    <row r="393" spans="1:60" customFormat="1" x14ac:dyDescent="0.25">
      <c r="A393" s="113" t="s">
        <v>597</v>
      </c>
      <c r="B393" s="441"/>
      <c r="C393" s="886">
        <f t="shared" ref="C393:AW393" si="279">C561</f>
        <v>12.618</v>
      </c>
      <c r="D393" s="886">
        <f t="shared" si="279"/>
        <v>27.995999999999999</v>
      </c>
      <c r="E393" s="886">
        <f t="shared" si="279"/>
        <v>61.582000000000001</v>
      </c>
      <c r="F393" s="886">
        <f t="shared" si="279"/>
        <v>73.947999999999993</v>
      </c>
      <c r="G393" s="885">
        <f t="shared" si="279"/>
        <v>17.745999999999999</v>
      </c>
      <c r="H393" s="885">
        <f t="shared" si="279"/>
        <v>17.955000000000002</v>
      </c>
      <c r="I393" s="885">
        <f t="shared" si="279"/>
        <v>18.476999999999997</v>
      </c>
      <c r="J393" s="885">
        <f t="shared" si="279"/>
        <v>18.921999999999997</v>
      </c>
      <c r="K393" s="886">
        <f t="shared" si="279"/>
        <v>73.099999999999994</v>
      </c>
      <c r="L393" s="885">
        <f t="shared" si="279"/>
        <v>25.824999999999999</v>
      </c>
      <c r="M393" s="885">
        <f t="shared" si="279"/>
        <v>29.285</v>
      </c>
      <c r="N393" s="885">
        <f t="shared" si="279"/>
        <v>29.878</v>
      </c>
      <c r="O393" s="885">
        <f t="shared" si="279"/>
        <v>30.251000000000005</v>
      </c>
      <c r="P393" s="886">
        <f t="shared" si="279"/>
        <v>115.239</v>
      </c>
      <c r="Q393" s="885">
        <f t="shared" si="279"/>
        <v>27.440999999999999</v>
      </c>
      <c r="R393" s="885">
        <f t="shared" si="279"/>
        <v>28.59</v>
      </c>
      <c r="S393" s="885">
        <f t="shared" si="279"/>
        <v>32.833999999999996</v>
      </c>
      <c r="T393" s="885">
        <f t="shared" si="279"/>
        <v>35.86</v>
      </c>
      <c r="U393" s="886">
        <f t="shared" si="279"/>
        <v>124.72499999999999</v>
      </c>
      <c r="V393" s="885">
        <f t="shared" si="279"/>
        <v>42.421999999999997</v>
      </c>
      <c r="W393" s="885">
        <f t="shared" si="279"/>
        <v>44.112000000000009</v>
      </c>
      <c r="X393" s="885">
        <f t="shared" si="279"/>
        <v>43.49499999999999</v>
      </c>
      <c r="Y393" s="885">
        <f t="shared" si="279"/>
        <v>43.646000000000015</v>
      </c>
      <c r="Z393" s="886">
        <f t="shared" si="279"/>
        <v>173.67500000000001</v>
      </c>
      <c r="AA393" s="885">
        <f t="shared" si="279"/>
        <v>44.887999999999998</v>
      </c>
      <c r="AB393" s="885">
        <f t="shared" si="279"/>
        <v>44.027999999999999</v>
      </c>
      <c r="AC393" s="885">
        <f t="shared" si="279"/>
        <v>44.763000000000005</v>
      </c>
      <c r="AD393" s="885">
        <f t="shared" si="279"/>
        <v>48.53</v>
      </c>
      <c r="AE393" s="886">
        <f t="shared" si="279"/>
        <v>182.209</v>
      </c>
      <c r="AF393" s="885">
        <f t="shared" si="279"/>
        <v>68.394999999999996</v>
      </c>
      <c r="AG393" s="885">
        <f t="shared" si="279"/>
        <v>81.232000000000014</v>
      </c>
      <c r="AH393" s="885">
        <f t="shared" si="279"/>
        <v>82.316000000000003</v>
      </c>
      <c r="AI393" s="885">
        <f t="shared" si="279"/>
        <v>88.71399999999997</v>
      </c>
      <c r="AJ393" s="886">
        <f t="shared" si="279"/>
        <v>320.65699999999998</v>
      </c>
      <c r="AK393" s="885">
        <f t="shared" si="279"/>
        <v>101.2</v>
      </c>
      <c r="AL393" s="885">
        <f t="shared" si="279"/>
        <v>103.848</v>
      </c>
      <c r="AM393" s="885">
        <f t="shared" si="279"/>
        <v>100.262</v>
      </c>
      <c r="AN393" s="885">
        <f t="shared" si="279"/>
        <v>100.06599999999997</v>
      </c>
      <c r="AO393" s="886">
        <f t="shared" si="279"/>
        <v>405.37599999999998</v>
      </c>
      <c r="AP393" s="885">
        <f t="shared" si="279"/>
        <v>97.019000000000005</v>
      </c>
      <c r="AQ393" s="885">
        <f t="shared" si="279"/>
        <v>104.21000000000001</v>
      </c>
      <c r="AR393" s="885">
        <f t="shared" si="279"/>
        <v>106.357</v>
      </c>
      <c r="AS393" s="885">
        <f t="shared" si="279"/>
        <v>107.59399999999999</v>
      </c>
      <c r="AT393" s="886">
        <f t="shared" si="279"/>
        <v>415.18</v>
      </c>
      <c r="AU393" s="885">
        <f t="shared" si="279"/>
        <v>107.23</v>
      </c>
      <c r="AV393" s="885">
        <f t="shared" si="279"/>
        <v>101.58299999999998</v>
      </c>
      <c r="AW393" s="891">
        <f t="shared" si="279"/>
        <v>95.078000000000031</v>
      </c>
      <c r="AX393" s="885">
        <f>AX444</f>
        <v>100.40314235203201</v>
      </c>
      <c r="AY393" s="886">
        <f>SUM(AU393,AV393,AW393,AX393)</f>
        <v>404.29414235203205</v>
      </c>
      <c r="AZ393" s="885">
        <f t="shared" ref="AZ393:BC393" si="280">AZ444</f>
        <v>103.97265755020493</v>
      </c>
      <c r="BA393" s="885">
        <f t="shared" si="280"/>
        <v>106.94955753962445</v>
      </c>
      <c r="BB393" s="885">
        <f t="shared" si="280"/>
        <v>110.03630461734542</v>
      </c>
      <c r="BC393" s="885">
        <f t="shared" si="280"/>
        <v>113.31290830429202</v>
      </c>
      <c r="BD393" s="886">
        <f>SUM(AZ393,BA393,BB393,BC393)</f>
        <v>434.27142801146681</v>
      </c>
      <c r="BE393" s="886">
        <f t="shared" ref="BE393:BG393" si="281">BE444</f>
        <v>490.10913821209419</v>
      </c>
      <c r="BF393" s="886">
        <f t="shared" si="281"/>
        <v>557.87856939670883</v>
      </c>
      <c r="BG393" s="886">
        <f t="shared" si="281"/>
        <v>636.48096995325886</v>
      </c>
      <c r="BH393" s="821"/>
    </row>
    <row r="394" spans="1:60" customFormat="1" x14ac:dyDescent="0.25">
      <c r="A394" s="61" t="s">
        <v>86</v>
      </c>
      <c r="B394" s="505"/>
      <c r="C394" s="872">
        <f t="shared" ref="C394:AH394" si="282">C388+SUM(C392:C393)</f>
        <v>242.60100000000003</v>
      </c>
      <c r="D394" s="872">
        <f t="shared" si="282"/>
        <v>349.73599999999999</v>
      </c>
      <c r="E394" s="872">
        <f t="shared" si="282"/>
        <v>481.39700000000011</v>
      </c>
      <c r="F394" s="872">
        <f t="shared" si="282"/>
        <v>169.40900000000019</v>
      </c>
      <c r="G394" s="871">
        <f t="shared" si="282"/>
        <v>61.619000000000028</v>
      </c>
      <c r="H394" s="871">
        <f t="shared" si="282"/>
        <v>87.09800000000007</v>
      </c>
      <c r="I394" s="871">
        <f t="shared" si="282"/>
        <v>87.049000000000063</v>
      </c>
      <c r="J394" s="871">
        <f t="shared" si="282"/>
        <v>114.0549999999991</v>
      </c>
      <c r="K394" s="872">
        <f t="shared" si="282"/>
        <v>349.82099999999997</v>
      </c>
      <c r="L394" s="871">
        <f t="shared" si="282"/>
        <v>135.80199999999991</v>
      </c>
      <c r="M394" s="871">
        <f t="shared" si="282"/>
        <v>171.86199999999997</v>
      </c>
      <c r="N394" s="871">
        <f t="shared" si="282"/>
        <v>154.64200000000005</v>
      </c>
      <c r="O394" s="871">
        <f t="shared" si="282"/>
        <v>109.60899999999971</v>
      </c>
      <c r="P394" s="872">
        <f t="shared" si="282"/>
        <v>571.91499999999974</v>
      </c>
      <c r="Q394" s="871">
        <f t="shared" si="282"/>
        <v>140.06399999999979</v>
      </c>
      <c r="R394" s="871">
        <f t="shared" si="282"/>
        <v>119.00599999999997</v>
      </c>
      <c r="S394" s="871">
        <f t="shared" si="282"/>
        <v>122.52199999999991</v>
      </c>
      <c r="T394" s="871">
        <f t="shared" si="282"/>
        <v>111.2420000000008</v>
      </c>
      <c r="U394" s="872">
        <f t="shared" si="282"/>
        <v>492.83400000000069</v>
      </c>
      <c r="V394" s="871">
        <f t="shared" si="282"/>
        <v>106.67300000000014</v>
      </c>
      <c r="W394" s="871">
        <f t="shared" si="282"/>
        <v>128.61300000000023</v>
      </c>
      <c r="X394" s="871">
        <f t="shared" si="282"/>
        <v>163.94100000000003</v>
      </c>
      <c r="Y394" s="871">
        <f t="shared" si="282"/>
        <v>211.76899999999929</v>
      </c>
      <c r="Z394" s="872">
        <f t="shared" si="282"/>
        <v>610.99599999999964</v>
      </c>
      <c r="AA394" s="871">
        <f t="shared" si="282"/>
        <v>316.87900000000025</v>
      </c>
      <c r="AB394" s="871">
        <f t="shared" si="282"/>
        <v>190.38600000000002</v>
      </c>
      <c r="AC394" s="871">
        <f t="shared" si="282"/>
        <v>272.62799999999982</v>
      </c>
      <c r="AD394" s="871">
        <f t="shared" si="282"/>
        <v>312.90599999999989</v>
      </c>
      <c r="AE394" s="872">
        <f t="shared" si="282"/>
        <v>1092.7989999999995</v>
      </c>
      <c r="AF394" s="871">
        <f t="shared" si="282"/>
        <v>534.01400000000012</v>
      </c>
      <c r="AG394" s="871">
        <f t="shared" si="282"/>
        <v>563.18100000000004</v>
      </c>
      <c r="AH394" s="871">
        <f t="shared" si="282"/>
        <v>584.14499999999964</v>
      </c>
      <c r="AI394" s="871">
        <f t="shared" ref="AI394:BG394" si="283">AI388+SUM(AI392:AI393)</f>
        <v>327.70000000000005</v>
      </c>
      <c r="AJ394" s="872">
        <f t="shared" si="283"/>
        <v>2009.0399999999995</v>
      </c>
      <c r="AK394" s="871">
        <f t="shared" si="283"/>
        <v>583.84500000000025</v>
      </c>
      <c r="AL394" s="871">
        <f t="shared" si="283"/>
        <v>835.76299999999992</v>
      </c>
      <c r="AM394" s="871">
        <f t="shared" si="283"/>
        <v>1107.2049999999997</v>
      </c>
      <c r="AN394" s="871">
        <f t="shared" si="283"/>
        <v>586.39600000000041</v>
      </c>
      <c r="AO394" s="872">
        <f t="shared" si="283"/>
        <v>3113.2090000000007</v>
      </c>
      <c r="AP394" s="871">
        <f t="shared" si="283"/>
        <v>1083.7919999999999</v>
      </c>
      <c r="AQ394" s="871">
        <f t="shared" si="283"/>
        <v>1488.7990000000004</v>
      </c>
      <c r="AR394" s="871">
        <f t="shared" si="283"/>
        <v>1449.8089999999993</v>
      </c>
      <c r="AS394" s="871">
        <f t="shared" si="283"/>
        <v>1093.7790000000034</v>
      </c>
      <c r="AT394" s="872">
        <f t="shared" si="283"/>
        <v>5116.179000000001</v>
      </c>
      <c r="AU394" s="871">
        <f t="shared" si="283"/>
        <v>2102.8270000000002</v>
      </c>
      <c r="AV394" s="871">
        <f t="shared" si="283"/>
        <v>1987.6470000000004</v>
      </c>
      <c r="AW394" s="873">
        <f t="shared" si="283"/>
        <v>1920.5839999999998</v>
      </c>
      <c r="AX394" s="870">
        <f t="shared" si="283"/>
        <v>705.19794695893643</v>
      </c>
      <c r="AY394" s="869">
        <f t="shared" si="283"/>
        <v>6716.2559469589378</v>
      </c>
      <c r="AZ394" s="870">
        <f t="shared" si="283"/>
        <v>2359.2626326813702</v>
      </c>
      <c r="BA394" s="870">
        <f t="shared" si="283"/>
        <v>2318.618607444299</v>
      </c>
      <c r="BB394" s="870">
        <f t="shared" si="283"/>
        <v>2330.9556977679586</v>
      </c>
      <c r="BC394" s="870">
        <f t="shared" si="283"/>
        <v>1661.6279998297416</v>
      </c>
      <c r="BD394" s="869">
        <f t="shared" si="283"/>
        <v>8670.4649377233691</v>
      </c>
      <c r="BE394" s="869">
        <f t="shared" si="283"/>
        <v>10915.713664636913</v>
      </c>
      <c r="BF394" s="869">
        <f t="shared" si="283"/>
        <v>13460.571188803928</v>
      </c>
      <c r="BG394" s="869">
        <f t="shared" si="283"/>
        <v>16992.67023813304</v>
      </c>
      <c r="BH394" s="824"/>
    </row>
    <row r="395" spans="1:60" customFormat="1" x14ac:dyDescent="0.25">
      <c r="A395" s="63" t="str">
        <f>CONCATENATE("Adjusted ",A394,IF(AND(ROUND(SUM(C394:BH394)-SUM(C395:BH395),6)=0)," (No Adjustments)",""))</f>
        <v>Adjusted EBITDA (No Adjustments)</v>
      </c>
      <c r="B395" s="423"/>
      <c r="C395" s="875">
        <f t="shared" ref="C395:K395" si="284">C394</f>
        <v>242.60100000000003</v>
      </c>
      <c r="D395" s="875">
        <f t="shared" si="284"/>
        <v>349.73599999999999</v>
      </c>
      <c r="E395" s="875">
        <f t="shared" si="284"/>
        <v>481.39700000000011</v>
      </c>
      <c r="F395" s="875">
        <f t="shared" si="284"/>
        <v>169.40900000000019</v>
      </c>
      <c r="G395" s="876">
        <f t="shared" si="284"/>
        <v>61.619000000000028</v>
      </c>
      <c r="H395" s="876">
        <f t="shared" si="284"/>
        <v>87.09800000000007</v>
      </c>
      <c r="I395" s="876">
        <f t="shared" si="284"/>
        <v>87.049000000000063</v>
      </c>
      <c r="J395" s="876">
        <f t="shared" si="284"/>
        <v>114.0549999999991</v>
      </c>
      <c r="K395" s="875">
        <f t="shared" si="284"/>
        <v>349.82099999999997</v>
      </c>
      <c r="L395" s="876">
        <f t="shared" ref="L395:AW395" si="285">L359</f>
        <v>135.80199999999991</v>
      </c>
      <c r="M395" s="876">
        <f t="shared" si="285"/>
        <v>171.86199999999997</v>
      </c>
      <c r="N395" s="876">
        <f t="shared" si="285"/>
        <v>154.64200000000005</v>
      </c>
      <c r="O395" s="876">
        <f t="shared" si="285"/>
        <v>109.60899999999971</v>
      </c>
      <c r="P395" s="875">
        <f t="shared" si="285"/>
        <v>571.91499999999974</v>
      </c>
      <c r="Q395" s="876">
        <f t="shared" si="285"/>
        <v>140.06399999999979</v>
      </c>
      <c r="R395" s="876">
        <f t="shared" si="285"/>
        <v>119.00599999999999</v>
      </c>
      <c r="S395" s="876">
        <f t="shared" si="285"/>
        <v>122.52199999999991</v>
      </c>
      <c r="T395" s="876">
        <f t="shared" si="285"/>
        <v>111.24200000000077</v>
      </c>
      <c r="U395" s="875">
        <f t="shared" si="285"/>
        <v>492.83400000000069</v>
      </c>
      <c r="V395" s="876">
        <f t="shared" si="285"/>
        <v>106.67300000000014</v>
      </c>
      <c r="W395" s="876">
        <f t="shared" si="285"/>
        <v>128.61300000000026</v>
      </c>
      <c r="X395" s="876">
        <f t="shared" si="285"/>
        <v>163.94100000000003</v>
      </c>
      <c r="Y395" s="876">
        <f t="shared" si="285"/>
        <v>211.76899999999927</v>
      </c>
      <c r="Z395" s="875">
        <f t="shared" si="285"/>
        <v>610.99599999999964</v>
      </c>
      <c r="AA395" s="876">
        <f t="shared" si="285"/>
        <v>316.87900000000025</v>
      </c>
      <c r="AB395" s="876">
        <f t="shared" si="285"/>
        <v>190.386</v>
      </c>
      <c r="AC395" s="876">
        <f t="shared" si="285"/>
        <v>272.62799999999982</v>
      </c>
      <c r="AD395" s="876">
        <f t="shared" si="285"/>
        <v>312.90599999999984</v>
      </c>
      <c r="AE395" s="875">
        <f t="shared" si="285"/>
        <v>1092.7989999999998</v>
      </c>
      <c r="AF395" s="876">
        <f t="shared" si="285"/>
        <v>534.01400000000012</v>
      </c>
      <c r="AG395" s="876">
        <f t="shared" si="285"/>
        <v>563.18099999999993</v>
      </c>
      <c r="AH395" s="876">
        <f t="shared" si="285"/>
        <v>584.14499999999975</v>
      </c>
      <c r="AI395" s="876">
        <f t="shared" si="285"/>
        <v>327.70000000000005</v>
      </c>
      <c r="AJ395" s="875">
        <f t="shared" si="285"/>
        <v>2009.0399999999995</v>
      </c>
      <c r="AK395" s="876">
        <f t="shared" si="285"/>
        <v>583.84500000000025</v>
      </c>
      <c r="AL395" s="876">
        <f t="shared" si="285"/>
        <v>835.76299999999981</v>
      </c>
      <c r="AM395" s="876">
        <f t="shared" si="285"/>
        <v>1107.2049999999997</v>
      </c>
      <c r="AN395" s="876">
        <f t="shared" si="285"/>
        <v>586.3960000000003</v>
      </c>
      <c r="AO395" s="875">
        <f t="shared" si="285"/>
        <v>3113.2090000000007</v>
      </c>
      <c r="AP395" s="876">
        <f t="shared" si="285"/>
        <v>1083.7919999999999</v>
      </c>
      <c r="AQ395" s="876">
        <f t="shared" si="285"/>
        <v>1488.7990000000004</v>
      </c>
      <c r="AR395" s="876">
        <f t="shared" si="285"/>
        <v>1449.8089999999993</v>
      </c>
      <c r="AS395" s="876">
        <f t="shared" si="285"/>
        <v>1093.7790000000034</v>
      </c>
      <c r="AT395" s="875">
        <f t="shared" si="285"/>
        <v>5116.179000000001</v>
      </c>
      <c r="AU395" s="876">
        <f t="shared" si="285"/>
        <v>2102.8270000000002</v>
      </c>
      <c r="AV395" s="876">
        <f t="shared" si="285"/>
        <v>1987.6470000000004</v>
      </c>
      <c r="AW395" s="877">
        <f t="shared" si="285"/>
        <v>1920.5839999999996</v>
      </c>
      <c r="AX395" s="879">
        <f>AX394</f>
        <v>705.19794695893643</v>
      </c>
      <c r="AY395" s="874">
        <f>SUM(AU395,AV395,AW395,AX395)</f>
        <v>6716.255946958936</v>
      </c>
      <c r="AZ395" s="879">
        <f>AZ394</f>
        <v>2359.2626326813702</v>
      </c>
      <c r="BA395" s="879">
        <f>BA394</f>
        <v>2318.618607444299</v>
      </c>
      <c r="BB395" s="879">
        <f>BB394</f>
        <v>2330.9556977679586</v>
      </c>
      <c r="BC395" s="879">
        <f>BC394</f>
        <v>1661.6279998297416</v>
      </c>
      <c r="BD395" s="874">
        <f>SUM(AZ395,BA395,BB395,BC395)</f>
        <v>8670.4649377233691</v>
      </c>
      <c r="BE395" s="874">
        <f>BE394</f>
        <v>10915.713664636913</v>
      </c>
      <c r="BF395" s="874">
        <f>BF394</f>
        <v>13460.571188803928</v>
      </c>
      <c r="BG395" s="874">
        <f>BG394</f>
        <v>16992.67023813304</v>
      </c>
      <c r="BH395" s="824"/>
    </row>
    <row r="396" spans="1:60" customFormat="1" x14ac:dyDescent="0.25">
      <c r="A396" s="950" t="str">
        <f>CONCATENATE("Consensus Estimates - ",IFERROR(LEFT(A395,FIND("(",A395)-1),A395))</f>
        <v xml:space="preserve">Consensus Estimates - Adjusted EBITDA </v>
      </c>
      <c r="B396" s="951"/>
      <c r="C396" s="900"/>
      <c r="D396" s="900"/>
      <c r="E396" s="900"/>
      <c r="F396" s="900"/>
      <c r="G396" s="901"/>
      <c r="H396" s="901"/>
      <c r="I396" s="901"/>
      <c r="J396" s="901"/>
      <c r="K396" s="900"/>
      <c r="L396" s="901"/>
      <c r="M396" s="901"/>
      <c r="N396" s="901"/>
      <c r="O396" s="901"/>
      <c r="P396" s="900"/>
      <c r="Q396" s="901"/>
      <c r="R396" s="901"/>
      <c r="S396" s="901"/>
      <c r="T396" s="901"/>
      <c r="U396" s="900"/>
      <c r="V396" s="901"/>
      <c r="W396" s="902"/>
      <c r="X396" s="901"/>
      <c r="Y396" s="902"/>
      <c r="Z396" s="851"/>
      <c r="AA396" s="901"/>
      <c r="AB396" s="902"/>
      <c r="AC396" s="901"/>
      <c r="AD396" s="902"/>
      <c r="AE396" s="851"/>
      <c r="AF396" s="901"/>
      <c r="AG396" s="902"/>
      <c r="AH396" s="901"/>
      <c r="AI396" s="902"/>
      <c r="AJ396" s="851"/>
      <c r="AK396" s="901"/>
      <c r="AL396" s="902"/>
      <c r="AM396" s="901"/>
      <c r="AN396" s="902"/>
      <c r="AO396" s="851"/>
      <c r="AP396" s="901"/>
      <c r="AQ396" s="902"/>
      <c r="AR396" s="901"/>
      <c r="AS396" s="902"/>
      <c r="AT396" s="851"/>
      <c r="AU396" s="901"/>
      <c r="AV396" s="902"/>
      <c r="AW396" s="903"/>
      <c r="AX396" s="901" t="str">
        <f t="shared" ref="AX396:BD396" ca="1" si="286">IFERROR(VLOOKUP($A396,tb_ConsensusEstimate,MATCH(AX$5,OFFSET(tb_ConsensusEstimate,0,0,1,COLUMNS(tb_ConsensusEstimate)),0),FALSE),"-")</f>
        <v>N/A</v>
      </c>
      <c r="AY396" s="851" t="str">
        <f t="shared" ca="1" si="286"/>
        <v>N/A</v>
      </c>
      <c r="AZ396" s="901" t="str">
        <f t="shared" ca="1" si="286"/>
        <v>N/A</v>
      </c>
      <c r="BA396" s="901" t="str">
        <f t="shared" ca="1" si="286"/>
        <v>N/A</v>
      </c>
      <c r="BB396" s="901" t="str">
        <f t="shared" ca="1" si="286"/>
        <v>N/A</v>
      </c>
      <c r="BC396" s="901" t="str">
        <f t="shared" ca="1" si="286"/>
        <v>N/A</v>
      </c>
      <c r="BD396" s="851" t="str">
        <f t="shared" ca="1" si="286"/>
        <v>N/A</v>
      </c>
      <c r="BE396" s="851" t="str">
        <f ca="1">IFERROR(VLOOKUP(A396,tb_ConsensusEstimate,MATCH(BE5,OFFSET(tb_ConsensusEstimate,0,0,1,COLUMNS(tb_ConsensusEstimate)),0),FALSE),"-")</f>
        <v>N/A</v>
      </c>
      <c r="BF396" s="851" t="str">
        <f ca="1">IFERROR(VLOOKUP(A396,tb_ConsensusEstimate,MATCH(BF5,OFFSET(tb_ConsensusEstimate,0,0,1,COLUMNS(tb_ConsensusEstimate)),0),FALSE),"-")</f>
        <v>N/A</v>
      </c>
      <c r="BG396" s="851" t="str">
        <f ca="1">IFERROR(VLOOKUP(A396,tb_ConsensusEstimate,MATCH(BG5,OFFSET(tb_ConsensusEstimate,0,0,1,COLUMNS(tb_ConsensusEstimate)),0),FALSE),"-")</f>
        <v>N/A</v>
      </c>
      <c r="BH396" s="830"/>
    </row>
    <row r="397" spans="1:60" customFormat="1" x14ac:dyDescent="0.25">
      <c r="A397" s="146"/>
      <c r="B397" s="184"/>
      <c r="C397" s="147"/>
      <c r="D397" s="147"/>
      <c r="E397" s="147"/>
      <c r="F397" s="147"/>
      <c r="G397" s="148"/>
      <c r="H397" s="148"/>
      <c r="I397" s="148"/>
      <c r="J397" s="148"/>
      <c r="K397" s="147"/>
      <c r="L397" s="148"/>
      <c r="M397" s="148"/>
      <c r="N397" s="148"/>
      <c r="O397" s="148"/>
      <c r="P397" s="147"/>
      <c r="Q397" s="148"/>
      <c r="R397" s="148"/>
      <c r="S397" s="148"/>
      <c r="T397" s="148"/>
      <c r="U397" s="147"/>
      <c r="V397" s="148"/>
      <c r="W397" s="149"/>
      <c r="X397" s="148"/>
      <c r="Y397" s="149"/>
      <c r="Z397" s="147"/>
      <c r="AA397" s="148"/>
      <c r="AB397" s="149"/>
      <c r="AC397" s="148"/>
      <c r="AD397" s="149"/>
      <c r="AE397" s="147"/>
      <c r="AF397" s="148"/>
      <c r="AG397" s="149"/>
      <c r="AH397" s="148"/>
      <c r="AI397" s="149"/>
      <c r="AJ397" s="147"/>
      <c r="AK397" s="148"/>
      <c r="AL397" s="149"/>
      <c r="AM397" s="148"/>
      <c r="AN397" s="149"/>
      <c r="AO397" s="147"/>
      <c r="AP397" s="148"/>
      <c r="AQ397" s="149"/>
      <c r="AR397" s="148"/>
      <c r="AS397" s="149"/>
      <c r="AT397" s="147"/>
      <c r="AU397" s="148"/>
      <c r="AV397" s="149"/>
      <c r="AW397" s="638"/>
      <c r="AX397" s="148"/>
      <c r="AY397" s="147"/>
      <c r="AZ397" s="148"/>
      <c r="BA397" s="148"/>
      <c r="BB397" s="148"/>
      <c r="BC397" s="148"/>
      <c r="BD397" s="147"/>
      <c r="BE397" s="560"/>
      <c r="BF397" s="560"/>
      <c r="BG397" s="560"/>
      <c r="BH397" s="84"/>
    </row>
    <row r="398" spans="1:60" customFormat="1" x14ac:dyDescent="0.25">
      <c r="A398" s="178" t="s">
        <v>60</v>
      </c>
      <c r="B398" s="289"/>
      <c r="C398" s="864">
        <f t="shared" ref="C398:AW398" si="287">-C344</f>
        <v>6.4749999999999996</v>
      </c>
      <c r="D398" s="864">
        <f t="shared" si="287"/>
        <v>19.629000000000001</v>
      </c>
      <c r="E398" s="864">
        <f t="shared" si="287"/>
        <v>20.024999999999999</v>
      </c>
      <c r="F398" s="864">
        <f t="shared" si="287"/>
        <v>19.986000000000001</v>
      </c>
      <c r="G398" s="867">
        <f t="shared" si="287"/>
        <v>6.74</v>
      </c>
      <c r="H398" s="867">
        <f t="shared" si="287"/>
        <v>7.5279999999999996</v>
      </c>
      <c r="I398" s="867">
        <f t="shared" si="287"/>
        <v>7.4359999999999999</v>
      </c>
      <c r="J398" s="867">
        <f t="shared" si="287"/>
        <v>7.4380000000000024</v>
      </c>
      <c r="K398" s="864">
        <f t="shared" si="287"/>
        <v>29.141999999999999</v>
      </c>
      <c r="L398" s="867">
        <f t="shared" si="287"/>
        <v>10.052</v>
      </c>
      <c r="M398" s="867">
        <f t="shared" si="287"/>
        <v>13.327999999999999</v>
      </c>
      <c r="N398" s="867">
        <f t="shared" si="287"/>
        <v>13.486000000000001</v>
      </c>
      <c r="O398" s="867">
        <f t="shared" si="287"/>
        <v>13.353000000000002</v>
      </c>
      <c r="P398" s="864">
        <f t="shared" si="287"/>
        <v>50.219000000000001</v>
      </c>
      <c r="Q398" s="867">
        <f t="shared" si="287"/>
        <v>26.736999999999998</v>
      </c>
      <c r="R398" s="867">
        <f t="shared" si="287"/>
        <v>35.216999999999999</v>
      </c>
      <c r="S398" s="867">
        <f t="shared" si="287"/>
        <v>35.332999999999998</v>
      </c>
      <c r="T398" s="867">
        <f t="shared" si="287"/>
        <v>35.429000000000016</v>
      </c>
      <c r="U398" s="864">
        <f t="shared" si="287"/>
        <v>132.71600000000001</v>
      </c>
      <c r="V398" s="867">
        <f t="shared" si="287"/>
        <v>35.536999999999999</v>
      </c>
      <c r="W398" s="867">
        <f t="shared" si="287"/>
        <v>35.454999999999998</v>
      </c>
      <c r="X398" s="867">
        <f t="shared" si="287"/>
        <v>35.536000000000001</v>
      </c>
      <c r="Y398" s="867">
        <f t="shared" si="287"/>
        <v>43.585999999999999</v>
      </c>
      <c r="Z398" s="864">
        <f t="shared" si="287"/>
        <v>150.114</v>
      </c>
      <c r="AA398" s="867">
        <f t="shared" si="287"/>
        <v>46.741999999999997</v>
      </c>
      <c r="AB398" s="867">
        <f t="shared" si="287"/>
        <v>55.481999999999999</v>
      </c>
      <c r="AC398" s="867">
        <f t="shared" si="287"/>
        <v>60.688000000000002</v>
      </c>
      <c r="AD398" s="867">
        <f t="shared" si="287"/>
        <v>75.292000000000016</v>
      </c>
      <c r="AE398" s="864">
        <f t="shared" si="287"/>
        <v>238.20400000000001</v>
      </c>
      <c r="AF398" s="867">
        <f t="shared" si="287"/>
        <v>81.218999999999994</v>
      </c>
      <c r="AG398" s="867">
        <f t="shared" si="287"/>
        <v>101.605</v>
      </c>
      <c r="AH398" s="867">
        <f t="shared" si="287"/>
        <v>108.86199999999999</v>
      </c>
      <c r="AI398" s="867">
        <f t="shared" si="287"/>
        <v>128.80699999999999</v>
      </c>
      <c r="AJ398" s="864">
        <f t="shared" si="287"/>
        <v>420.49299999999999</v>
      </c>
      <c r="AK398" s="867">
        <f t="shared" si="287"/>
        <v>135.529</v>
      </c>
      <c r="AL398" s="867">
        <f t="shared" si="287"/>
        <v>152.03299999999999</v>
      </c>
      <c r="AM398" s="867">
        <f t="shared" si="287"/>
        <v>160.66</v>
      </c>
      <c r="AN398" s="867">
        <f t="shared" si="287"/>
        <v>177.80100000000004</v>
      </c>
      <c r="AO398" s="864">
        <f t="shared" si="287"/>
        <v>626.02300000000002</v>
      </c>
      <c r="AP398" s="867">
        <f t="shared" si="287"/>
        <v>184.083</v>
      </c>
      <c r="AQ398" s="867">
        <f t="shared" si="287"/>
        <v>189.15100000000001</v>
      </c>
      <c r="AR398" s="867">
        <f t="shared" si="287"/>
        <v>197.07900000000001</v>
      </c>
      <c r="AS398" s="867">
        <f t="shared" si="287"/>
        <v>197.18599999999992</v>
      </c>
      <c r="AT398" s="864">
        <f t="shared" si="287"/>
        <v>767.49900000000002</v>
      </c>
      <c r="AU398" s="867">
        <f t="shared" si="287"/>
        <v>194.44</v>
      </c>
      <c r="AV398" s="867">
        <f t="shared" si="287"/>
        <v>191.322</v>
      </c>
      <c r="AW398" s="868">
        <f t="shared" si="287"/>
        <v>190.429</v>
      </c>
      <c r="AX398" s="867">
        <f>AX460</f>
        <v>191.3511871561644</v>
      </c>
      <c r="AY398" s="864">
        <f>SUM(AU398,AV398,AW398,AX398)</f>
        <v>767.54218715616446</v>
      </c>
      <c r="AZ398" s="867">
        <f>AZ460</f>
        <v>187.19137873972605</v>
      </c>
      <c r="BA398" s="867">
        <f>BA460</f>
        <v>189.27128294794522</v>
      </c>
      <c r="BB398" s="867">
        <f>BB460</f>
        <v>191.3511871561644</v>
      </c>
      <c r="BC398" s="867">
        <f>BC460</f>
        <v>191.3511871561644</v>
      </c>
      <c r="BD398" s="864">
        <f>SUM(AZ398,BA398,BB398,BC398)</f>
        <v>759.1650360000001</v>
      </c>
      <c r="BE398" s="864">
        <f>BE460</f>
        <v>759.1650360000001</v>
      </c>
      <c r="BF398" s="864">
        <f>BF460</f>
        <v>759.1650360000001</v>
      </c>
      <c r="BG398" s="864">
        <f>BG460</f>
        <v>759.1650360000001</v>
      </c>
      <c r="BH398" s="821"/>
    </row>
    <row r="399" spans="1:60" s="57" customFormat="1" x14ac:dyDescent="0.25">
      <c r="A399" s="178" t="s">
        <v>519</v>
      </c>
      <c r="B399" s="289"/>
      <c r="C399" s="864"/>
      <c r="D399" s="864"/>
      <c r="E399" s="864"/>
      <c r="F399" s="864"/>
      <c r="G399" s="867"/>
      <c r="H399" s="867"/>
      <c r="I399" s="867"/>
      <c r="J399" s="867">
        <f>(K399*K$3-SUM(G399*G$3,H399*H$3,I399*I$3))/J$3</f>
        <v>0</v>
      </c>
      <c r="K399" s="864"/>
      <c r="L399" s="867"/>
      <c r="M399" s="867"/>
      <c r="N399" s="867"/>
      <c r="O399" s="867">
        <f>(P399*P$3-SUM(L399*L$3,M399*M$3,N399*N$3))/O$3</f>
        <v>0</v>
      </c>
      <c r="P399" s="864"/>
      <c r="Q399" s="867"/>
      <c r="R399" s="867"/>
      <c r="S399" s="867"/>
      <c r="T399" s="867">
        <f>(U399*U$3-SUM(Q399*Q$3,R399*R$3,S399*S$3))/T$3</f>
        <v>0</v>
      </c>
      <c r="U399" s="864"/>
      <c r="V399" s="867"/>
      <c r="W399" s="867"/>
      <c r="X399" s="867"/>
      <c r="Y399" s="867">
        <f>(Z399*Z$3-SUM(V399*V$3,W399*W$3,X399*X$3))/Y$3</f>
        <v>0</v>
      </c>
      <c r="Z399" s="864"/>
      <c r="AA399" s="867"/>
      <c r="AB399" s="867"/>
      <c r="AC399" s="867"/>
      <c r="AD399" s="867">
        <f>(AE399*AE$3-SUM(AA399*AA$3,AB399*AB$3,AC399*AC$3))/AD$3</f>
        <v>0</v>
      </c>
      <c r="AE399" s="864"/>
      <c r="AF399" s="867"/>
      <c r="AG399" s="867"/>
      <c r="AH399" s="867"/>
      <c r="AI399" s="867">
        <f>(AJ399*AJ$3-SUM(AF399*AF$3,AG399*AG$3,AH399*AH$3))/AI$3</f>
        <v>0</v>
      </c>
      <c r="AJ399" s="864"/>
      <c r="AK399" s="867"/>
      <c r="AL399" s="867"/>
      <c r="AM399" s="867"/>
      <c r="AN399" s="867">
        <f>(AO399*AO$3-SUM(AK399*AK$3,AL399*AL$3,AM399*AM$3))/AN$3</f>
        <v>0</v>
      </c>
      <c r="AO399" s="864"/>
      <c r="AP399" s="867"/>
      <c r="AQ399" s="867"/>
      <c r="AR399" s="867"/>
      <c r="AS399" s="867">
        <f>(AT399*AT$3-SUM(AP399*AP$3,AQ399*AQ$3,AR399*AR$3))/AS$3</f>
        <v>0</v>
      </c>
      <c r="AT399" s="864"/>
      <c r="AU399" s="867"/>
      <c r="AV399" s="867"/>
      <c r="AW399" s="868"/>
      <c r="AX399" s="867">
        <f>-AX462</f>
        <v>-20.941379769863008</v>
      </c>
      <c r="AY399" s="864">
        <f>SUM(AU399,AV399,AW399,AX399)</f>
        <v>-20.941379769863008</v>
      </c>
      <c r="AZ399" s="867">
        <f ca="1">-AZ462</f>
        <v>-21.547827343578561</v>
      </c>
      <c r="BA399" s="867">
        <f ca="1">-BA462</f>
        <v>-24.330486253595897</v>
      </c>
      <c r="BB399" s="867">
        <f ca="1">-BB462</f>
        <v>-26.995225220868221</v>
      </c>
      <c r="BC399" s="867">
        <f ca="1">-BC462</f>
        <v>-31.032524381021481</v>
      </c>
      <c r="BD399" s="864">
        <f ca="1">SUM(AZ399,BA399,BB399,BC399)</f>
        <v>-103.90606319906416</v>
      </c>
      <c r="BE399" s="864">
        <f ca="1">-BE462</f>
        <v>-134.10820516379306</v>
      </c>
      <c r="BF399" s="864">
        <f ca="1">-BF462</f>
        <v>-207.74962241865876</v>
      </c>
      <c r="BG399" s="864">
        <f ca="1">-BG462</f>
        <v>-314.87705147178735</v>
      </c>
      <c r="BH399" s="821"/>
    </row>
    <row r="400" spans="1:60" customFormat="1" x14ac:dyDescent="0.25">
      <c r="A400" s="367" t="s">
        <v>88</v>
      </c>
      <c r="B400" s="289"/>
      <c r="C400" s="865">
        <f t="shared" ref="C400:AW400" si="288">-C345</f>
        <v>-6.7279999999999998</v>
      </c>
      <c r="D400" s="865">
        <f t="shared" si="288"/>
        <v>-3.6840000000000002</v>
      </c>
      <c r="E400" s="865">
        <f t="shared" si="288"/>
        <v>-3.4790000000000001</v>
      </c>
      <c r="F400" s="865">
        <f t="shared" si="288"/>
        <v>-0.47399999999999998</v>
      </c>
      <c r="G400" s="866">
        <f t="shared" si="288"/>
        <v>-0.97699999999999998</v>
      </c>
      <c r="H400" s="866">
        <f t="shared" si="288"/>
        <v>2.94</v>
      </c>
      <c r="I400" s="866">
        <f t="shared" si="288"/>
        <v>0.193</v>
      </c>
      <c r="J400" s="866">
        <f t="shared" si="288"/>
        <v>0.84599999999999964</v>
      </c>
      <c r="K400" s="865">
        <f t="shared" si="288"/>
        <v>3.0019999999999998</v>
      </c>
      <c r="L400" s="866">
        <f t="shared" si="288"/>
        <v>-1.401</v>
      </c>
      <c r="M400" s="866">
        <f t="shared" si="288"/>
        <v>-1.1000000000000001</v>
      </c>
      <c r="N400" s="866">
        <f t="shared" si="288"/>
        <v>-0.61599999999999999</v>
      </c>
      <c r="O400" s="866">
        <f t="shared" si="288"/>
        <v>6.1769999999999996</v>
      </c>
      <c r="P400" s="865">
        <f t="shared" si="288"/>
        <v>3.06</v>
      </c>
      <c r="Q400" s="866">
        <f t="shared" si="288"/>
        <v>32.292999999999999</v>
      </c>
      <c r="R400" s="866">
        <f t="shared" si="288"/>
        <v>-0.872</v>
      </c>
      <c r="S400" s="866">
        <f t="shared" si="288"/>
        <v>-3.93</v>
      </c>
      <c r="T400" s="866">
        <f t="shared" si="288"/>
        <v>3.7340000000000022</v>
      </c>
      <c r="U400" s="865">
        <f t="shared" si="288"/>
        <v>31.225000000000001</v>
      </c>
      <c r="V400" s="866">
        <f t="shared" si="288"/>
        <v>-25.963000000000001</v>
      </c>
      <c r="W400" s="866">
        <f t="shared" si="288"/>
        <v>-16.317</v>
      </c>
      <c r="X400" s="866">
        <f t="shared" si="288"/>
        <v>-8.6270000000000007</v>
      </c>
      <c r="Y400" s="866">
        <f t="shared" si="288"/>
        <v>20.079000000000001</v>
      </c>
      <c r="Z400" s="865">
        <f t="shared" si="288"/>
        <v>-30.827999999999999</v>
      </c>
      <c r="AA400" s="866">
        <f t="shared" si="288"/>
        <v>-13.592000000000001</v>
      </c>
      <c r="AB400" s="866">
        <f t="shared" si="288"/>
        <v>58.363</v>
      </c>
      <c r="AC400" s="866">
        <f t="shared" si="288"/>
        <v>31.702000000000002</v>
      </c>
      <c r="AD400" s="866">
        <f t="shared" si="288"/>
        <v>38.681000000000012</v>
      </c>
      <c r="AE400" s="865">
        <f t="shared" si="288"/>
        <v>115.154</v>
      </c>
      <c r="AF400" s="866">
        <f t="shared" si="288"/>
        <v>65.742999999999995</v>
      </c>
      <c r="AG400" s="866">
        <f t="shared" si="288"/>
        <v>-68.028000000000006</v>
      </c>
      <c r="AH400" s="866">
        <f t="shared" si="288"/>
        <v>-7.0039999999999996</v>
      </c>
      <c r="AI400" s="866">
        <f t="shared" si="288"/>
        <v>-32.436</v>
      </c>
      <c r="AJ400" s="865">
        <f t="shared" si="288"/>
        <v>-41.725000000000001</v>
      </c>
      <c r="AK400" s="866">
        <f t="shared" si="288"/>
        <v>-76.103999999999999</v>
      </c>
      <c r="AL400" s="866">
        <f t="shared" si="288"/>
        <v>53.47</v>
      </c>
      <c r="AM400" s="866">
        <f t="shared" si="288"/>
        <v>-192.744</v>
      </c>
      <c r="AN400" s="866">
        <f t="shared" si="288"/>
        <v>131.37799999999999</v>
      </c>
      <c r="AO400" s="865">
        <f t="shared" si="288"/>
        <v>-84</v>
      </c>
      <c r="AP400" s="866">
        <f t="shared" si="288"/>
        <v>-21.696999999999999</v>
      </c>
      <c r="AQ400" s="866">
        <f t="shared" si="288"/>
        <v>133.17500000000001</v>
      </c>
      <c r="AR400" s="866">
        <f t="shared" si="288"/>
        <v>256.32400000000001</v>
      </c>
      <c r="AS400" s="866">
        <f t="shared" si="288"/>
        <v>250.63900000000001</v>
      </c>
      <c r="AT400" s="865">
        <f t="shared" si="288"/>
        <v>618.44100000000003</v>
      </c>
      <c r="AU400" s="866">
        <f t="shared" si="288"/>
        <v>-269.08600000000001</v>
      </c>
      <c r="AV400" s="866">
        <f t="shared" si="288"/>
        <v>62.518999999999998</v>
      </c>
      <c r="AW400" s="878">
        <f t="shared" si="288"/>
        <v>-96.135000000000005</v>
      </c>
      <c r="AX400" s="905">
        <v>0</v>
      </c>
      <c r="AY400" s="864">
        <f>SUM(AU400,AV400,AW400,AX400)</f>
        <v>-302.702</v>
      </c>
      <c r="AZ400" s="905">
        <v>0</v>
      </c>
      <c r="BA400" s="905">
        <v>0</v>
      </c>
      <c r="BB400" s="905">
        <v>0</v>
      </c>
      <c r="BC400" s="905">
        <v>0</v>
      </c>
      <c r="BD400" s="864">
        <f>SUM(AZ400,BA400,BB400,BC400)</f>
        <v>0</v>
      </c>
      <c r="BE400" s="906">
        <v>0</v>
      </c>
      <c r="BF400" s="906">
        <v>0</v>
      </c>
      <c r="BG400" s="906">
        <v>0</v>
      </c>
      <c r="BH400" s="821"/>
    </row>
    <row r="401" spans="1:60" customFormat="1" x14ac:dyDescent="0.25">
      <c r="A401" s="113" t="s">
        <v>89</v>
      </c>
      <c r="B401" s="441"/>
      <c r="C401" s="886">
        <f t="shared" ref="C401:AW401" si="289">-C346</f>
        <v>0</v>
      </c>
      <c r="D401" s="886">
        <f t="shared" si="289"/>
        <v>0</v>
      </c>
      <c r="E401" s="886">
        <f t="shared" si="289"/>
        <v>0</v>
      </c>
      <c r="F401" s="886">
        <f t="shared" si="289"/>
        <v>0</v>
      </c>
      <c r="G401" s="885">
        <f t="shared" si="289"/>
        <v>25.129000000000001</v>
      </c>
      <c r="H401" s="885">
        <f t="shared" si="289"/>
        <v>0</v>
      </c>
      <c r="I401" s="885">
        <f t="shared" si="289"/>
        <v>0</v>
      </c>
      <c r="J401" s="885">
        <f t="shared" si="289"/>
        <v>0</v>
      </c>
      <c r="K401" s="886">
        <f t="shared" si="289"/>
        <v>25.129000000000001</v>
      </c>
      <c r="L401" s="885">
        <f t="shared" si="289"/>
        <v>0</v>
      </c>
      <c r="M401" s="885">
        <f t="shared" si="289"/>
        <v>0</v>
      </c>
      <c r="N401" s="885">
        <f t="shared" si="289"/>
        <v>0</v>
      </c>
      <c r="O401" s="885">
        <f t="shared" si="289"/>
        <v>0</v>
      </c>
      <c r="P401" s="886">
        <f t="shared" si="289"/>
        <v>0</v>
      </c>
      <c r="Q401" s="885">
        <f t="shared" si="289"/>
        <v>0</v>
      </c>
      <c r="R401" s="885">
        <f t="shared" si="289"/>
        <v>0</v>
      </c>
      <c r="S401" s="885">
        <f t="shared" si="289"/>
        <v>0</v>
      </c>
      <c r="T401" s="885">
        <f t="shared" si="289"/>
        <v>0</v>
      </c>
      <c r="U401" s="886">
        <f t="shared" si="289"/>
        <v>0</v>
      </c>
      <c r="V401" s="885">
        <f t="shared" si="289"/>
        <v>0</v>
      </c>
      <c r="W401" s="885">
        <f t="shared" si="289"/>
        <v>0</v>
      </c>
      <c r="X401" s="885">
        <f t="shared" si="289"/>
        <v>0</v>
      </c>
      <c r="Y401" s="885">
        <f t="shared" si="289"/>
        <v>0</v>
      </c>
      <c r="Z401" s="886">
        <f t="shared" si="289"/>
        <v>0</v>
      </c>
      <c r="AA401" s="885">
        <f t="shared" si="289"/>
        <v>0</v>
      </c>
      <c r="AB401" s="885">
        <f t="shared" si="289"/>
        <v>0</v>
      </c>
      <c r="AC401" s="885">
        <f t="shared" si="289"/>
        <v>0</v>
      </c>
      <c r="AD401" s="885">
        <f t="shared" si="289"/>
        <v>0</v>
      </c>
      <c r="AE401" s="886">
        <f t="shared" si="289"/>
        <v>0</v>
      </c>
      <c r="AF401" s="885">
        <f t="shared" si="289"/>
        <v>0</v>
      </c>
      <c r="AG401" s="885">
        <f t="shared" si="289"/>
        <v>0</v>
      </c>
      <c r="AH401" s="885">
        <f t="shared" si="289"/>
        <v>0</v>
      </c>
      <c r="AI401" s="885">
        <f t="shared" si="289"/>
        <v>0</v>
      </c>
      <c r="AJ401" s="886">
        <f t="shared" si="289"/>
        <v>0</v>
      </c>
      <c r="AK401" s="885">
        <f t="shared" si="289"/>
        <v>0</v>
      </c>
      <c r="AL401" s="885">
        <f t="shared" si="289"/>
        <v>0</v>
      </c>
      <c r="AM401" s="885">
        <f t="shared" si="289"/>
        <v>0</v>
      </c>
      <c r="AN401" s="885">
        <f t="shared" si="289"/>
        <v>0</v>
      </c>
      <c r="AO401" s="886">
        <f t="shared" si="289"/>
        <v>0</v>
      </c>
      <c r="AP401" s="885">
        <f t="shared" si="289"/>
        <v>0</v>
      </c>
      <c r="AQ401" s="885">
        <f t="shared" si="289"/>
        <v>0</v>
      </c>
      <c r="AR401" s="885">
        <f t="shared" si="289"/>
        <v>0</v>
      </c>
      <c r="AS401" s="885">
        <f t="shared" si="289"/>
        <v>0</v>
      </c>
      <c r="AT401" s="886">
        <f t="shared" si="289"/>
        <v>0</v>
      </c>
      <c r="AU401" s="885">
        <f t="shared" si="289"/>
        <v>0</v>
      </c>
      <c r="AV401" s="885">
        <f t="shared" si="289"/>
        <v>0</v>
      </c>
      <c r="AW401" s="891">
        <f t="shared" si="289"/>
        <v>0</v>
      </c>
      <c r="AX401" s="882"/>
      <c r="AY401" s="881">
        <f>SUM(AU401,AV401,AW401,AX401)</f>
        <v>0</v>
      </c>
      <c r="AZ401" s="882"/>
      <c r="BA401" s="882"/>
      <c r="BB401" s="882"/>
      <c r="BC401" s="882"/>
      <c r="BD401" s="881">
        <f>SUM(AZ401,BA401,BB401,BC401)</f>
        <v>0</v>
      </c>
      <c r="BE401" s="881"/>
      <c r="BF401" s="881"/>
      <c r="BG401" s="881"/>
      <c r="BH401" s="821"/>
    </row>
    <row r="402" spans="1:60" customFormat="1" x14ac:dyDescent="0.25">
      <c r="A402" s="61" t="s">
        <v>90</v>
      </c>
      <c r="B402" s="505"/>
      <c r="C402" s="872">
        <f t="shared" ref="C402:AH402" si="290">C388-SUM(C398:C401)</f>
        <v>192.19200000000001</v>
      </c>
      <c r="D402" s="872">
        <f t="shared" si="290"/>
        <v>267.69599999999997</v>
      </c>
      <c r="E402" s="872">
        <f t="shared" si="290"/>
        <v>359.52200000000011</v>
      </c>
      <c r="F402" s="872">
        <f t="shared" si="290"/>
        <v>30.480000000000189</v>
      </c>
      <c r="G402" s="871">
        <f t="shared" si="290"/>
        <v>0.93000000000002814</v>
      </c>
      <c r="H402" s="871">
        <f t="shared" si="290"/>
        <v>46.649000000000072</v>
      </c>
      <c r="I402" s="871">
        <f t="shared" si="290"/>
        <v>49.491000000000064</v>
      </c>
      <c r="J402" s="871">
        <f t="shared" si="290"/>
        <v>74.003999999999095</v>
      </c>
      <c r="K402" s="872">
        <f t="shared" si="290"/>
        <v>171.07399999999998</v>
      </c>
      <c r="L402" s="871">
        <f t="shared" si="290"/>
        <v>88.943999999999917</v>
      </c>
      <c r="M402" s="871">
        <f t="shared" si="290"/>
        <v>117.37199999999997</v>
      </c>
      <c r="N402" s="871">
        <f t="shared" si="290"/>
        <v>97.537000000000035</v>
      </c>
      <c r="O402" s="871">
        <f t="shared" si="290"/>
        <v>45.515999999999707</v>
      </c>
      <c r="P402" s="872">
        <f t="shared" si="290"/>
        <v>349.36899999999969</v>
      </c>
      <c r="Q402" s="871">
        <f t="shared" si="290"/>
        <v>38.425999999999789</v>
      </c>
      <c r="R402" s="871">
        <f t="shared" si="290"/>
        <v>40.489999999999981</v>
      </c>
      <c r="S402" s="871">
        <f t="shared" si="290"/>
        <v>42.237999999999907</v>
      </c>
      <c r="T402" s="871">
        <f t="shared" si="290"/>
        <v>20.731000000000783</v>
      </c>
      <c r="U402" s="872">
        <f t="shared" si="290"/>
        <v>141.8850000000007</v>
      </c>
      <c r="V402" s="871">
        <f t="shared" si="290"/>
        <v>39.879000000000147</v>
      </c>
      <c r="W402" s="871">
        <f t="shared" si="290"/>
        <v>51.232000000000234</v>
      </c>
      <c r="X402" s="871">
        <f t="shared" si="290"/>
        <v>79.127000000000066</v>
      </c>
      <c r="Y402" s="871">
        <f t="shared" si="290"/>
        <v>90.268999999999295</v>
      </c>
      <c r="Z402" s="872">
        <f t="shared" si="290"/>
        <v>260.50699999999966</v>
      </c>
      <c r="AA402" s="871">
        <f t="shared" si="290"/>
        <v>223.79200000000023</v>
      </c>
      <c r="AB402" s="871">
        <f t="shared" si="290"/>
        <v>13.962000000000018</v>
      </c>
      <c r="AC402" s="871">
        <f t="shared" si="290"/>
        <v>116.23699999999984</v>
      </c>
      <c r="AD402" s="871">
        <f t="shared" si="290"/>
        <v>131.32999999999987</v>
      </c>
      <c r="AE402" s="872">
        <f t="shared" si="290"/>
        <v>485.32099999999963</v>
      </c>
      <c r="AF402" s="871">
        <f t="shared" si="290"/>
        <v>299.6160000000001</v>
      </c>
      <c r="AG402" s="871">
        <f t="shared" si="290"/>
        <v>428.63599999999997</v>
      </c>
      <c r="AH402" s="871">
        <f t="shared" si="290"/>
        <v>378.80999999999966</v>
      </c>
      <c r="AI402" s="871">
        <f t="shared" ref="AI402:AY402" si="291">AI388-SUM(AI398:AI401)</f>
        <v>119.39600000000007</v>
      </c>
      <c r="AJ402" s="872">
        <f t="shared" si="291"/>
        <v>1226.4579999999996</v>
      </c>
      <c r="AK402" s="871">
        <f t="shared" si="291"/>
        <v>399.65900000000028</v>
      </c>
      <c r="AL402" s="871">
        <f t="shared" si="291"/>
        <v>500.91599999999988</v>
      </c>
      <c r="AM402" s="871">
        <f t="shared" si="291"/>
        <v>1012.3229999999999</v>
      </c>
      <c r="AN402" s="871">
        <f t="shared" si="291"/>
        <v>149.33300000000037</v>
      </c>
      <c r="AO402" s="872">
        <f t="shared" si="291"/>
        <v>2062.2310000000007</v>
      </c>
      <c r="AP402" s="871">
        <f t="shared" si="291"/>
        <v>795.86999999999989</v>
      </c>
      <c r="AQ402" s="871">
        <f t="shared" si="291"/>
        <v>1035.6020000000003</v>
      </c>
      <c r="AR402" s="871">
        <f>AR388-SUM(AR398:AR401)</f>
        <v>861.45999999999935</v>
      </c>
      <c r="AS402" s="871">
        <f>AS388-SUM(AS398:AS401)</f>
        <v>506.41700000000344</v>
      </c>
      <c r="AT402" s="872">
        <f>AT388-SUM(AT398:AT401)</f>
        <v>3199.3490000000006</v>
      </c>
      <c r="AU402" s="871">
        <f t="shared" ref="AU402" si="292">AU388-SUM(AU398:AU401)</f>
        <v>2034.5020000000002</v>
      </c>
      <c r="AV402" s="871">
        <f>AV388-SUM(AV398:AV401)</f>
        <v>1593.7890000000002</v>
      </c>
      <c r="AW402" s="873">
        <f t="shared" ref="AW402" si="293">AW388-SUM(AW398:AW401)</f>
        <v>1660.9589999999996</v>
      </c>
      <c r="AX402" s="870">
        <f t="shared" si="291"/>
        <v>357.501101330192</v>
      </c>
      <c r="AY402" s="869">
        <f t="shared" si="291"/>
        <v>5646.7511013301937</v>
      </c>
      <c r="AZ402" s="870">
        <f t="shared" ref="AZ402:BG402" ca="1" si="294">AZ388-SUM(AZ398:AZ401)</f>
        <v>2022.2054482244157</v>
      </c>
      <c r="BA402" s="870">
        <f t="shared" ca="1" si="294"/>
        <v>1976.7520933348412</v>
      </c>
      <c r="BB402" s="870">
        <f t="shared" ca="1" si="294"/>
        <v>1984.1534189222659</v>
      </c>
      <c r="BC402" s="870">
        <f t="shared" ca="1" si="294"/>
        <v>1314.0564949471495</v>
      </c>
      <c r="BD402" s="869">
        <f t="shared" ca="1" si="294"/>
        <v>7297.1674554286719</v>
      </c>
      <c r="BE402" s="869">
        <f t="shared" ca="1" si="294"/>
        <v>9501.4658306106066</v>
      </c>
      <c r="BF402" s="869">
        <f t="shared" ca="1" si="294"/>
        <v>12029.993351143035</v>
      </c>
      <c r="BG402" s="869">
        <f t="shared" ca="1" si="294"/>
        <v>15573.29987699895</v>
      </c>
      <c r="BH402" s="824"/>
    </row>
    <row r="403" spans="1:60" customFormat="1" x14ac:dyDescent="0.25">
      <c r="A403" s="836"/>
      <c r="B403" s="837"/>
      <c r="C403" s="900"/>
      <c r="D403" s="900"/>
      <c r="E403" s="900"/>
      <c r="F403" s="900"/>
      <c r="G403" s="901"/>
      <c r="H403" s="901"/>
      <c r="I403" s="901"/>
      <c r="J403" s="901"/>
      <c r="K403" s="900"/>
      <c r="L403" s="901"/>
      <c r="M403" s="901"/>
      <c r="N403" s="901"/>
      <c r="O403" s="901"/>
      <c r="P403" s="900"/>
      <c r="Q403" s="901"/>
      <c r="R403" s="901"/>
      <c r="S403" s="901"/>
      <c r="T403" s="901"/>
      <c r="U403" s="900"/>
      <c r="V403" s="901"/>
      <c r="W403" s="901"/>
      <c r="X403" s="901"/>
      <c r="Y403" s="901"/>
      <c r="Z403" s="900"/>
      <c r="AA403" s="901"/>
      <c r="AB403" s="901"/>
      <c r="AC403" s="901"/>
      <c r="AD403" s="901"/>
      <c r="AE403" s="900"/>
      <c r="AF403" s="901"/>
      <c r="AG403" s="901"/>
      <c r="AH403" s="901"/>
      <c r="AI403" s="901"/>
      <c r="AJ403" s="900"/>
      <c r="AK403" s="901"/>
      <c r="AL403" s="901"/>
      <c r="AM403" s="901"/>
      <c r="AN403" s="901"/>
      <c r="AO403" s="900"/>
      <c r="AP403" s="901"/>
      <c r="AQ403" s="901"/>
      <c r="AR403" s="901"/>
      <c r="AS403" s="901"/>
      <c r="AT403" s="900"/>
      <c r="AU403" s="901"/>
      <c r="AV403" s="901"/>
      <c r="AW403" s="903"/>
      <c r="AX403" s="901"/>
      <c r="AY403" s="900"/>
      <c r="AZ403" s="901"/>
      <c r="BA403" s="901"/>
      <c r="BB403" s="901"/>
      <c r="BC403" s="901"/>
      <c r="BD403" s="900"/>
      <c r="BE403" s="900"/>
      <c r="BF403" s="900"/>
      <c r="BG403" s="900"/>
      <c r="BH403" s="459"/>
    </row>
    <row r="404" spans="1:60" customFormat="1" x14ac:dyDescent="0.25">
      <c r="A404" s="367" t="s">
        <v>91</v>
      </c>
      <c r="B404" s="289"/>
      <c r="C404" s="865">
        <f t="shared" ref="C404:AW404" si="295">C348-C405</f>
        <v>70.003999999999991</v>
      </c>
      <c r="D404" s="865">
        <f t="shared" si="295"/>
        <v>107.80500000000001</v>
      </c>
      <c r="E404" s="865">
        <f t="shared" si="295"/>
        <v>151.99299999999999</v>
      </c>
      <c r="F404" s="865">
        <f t="shared" si="295"/>
        <v>43.399000000000001</v>
      </c>
      <c r="G404" s="866">
        <f t="shared" si="295"/>
        <v>4.9890000000000008</v>
      </c>
      <c r="H404" s="866">
        <f t="shared" si="295"/>
        <v>19.218</v>
      </c>
      <c r="I404" s="866">
        <f t="shared" si="295"/>
        <v>20.093</v>
      </c>
      <c r="J404" s="866">
        <f t="shared" si="295"/>
        <v>36.414999999999992</v>
      </c>
      <c r="K404" s="865">
        <f t="shared" si="295"/>
        <v>80.715000000000003</v>
      </c>
      <c r="L404" s="866">
        <f t="shared" si="295"/>
        <v>48.932000000000002</v>
      </c>
      <c r="M404" s="866">
        <f t="shared" si="295"/>
        <v>62.923000000000002</v>
      </c>
      <c r="N404" s="866">
        <f t="shared" si="295"/>
        <v>46.134</v>
      </c>
      <c r="O404" s="866">
        <f t="shared" si="295"/>
        <v>-45.356000000000009</v>
      </c>
      <c r="P404" s="865">
        <f t="shared" si="295"/>
        <v>112.633</v>
      </c>
      <c r="Q404" s="866">
        <f t="shared" si="295"/>
        <v>51.772000000000006</v>
      </c>
      <c r="R404" s="866">
        <f t="shared" si="295"/>
        <v>18.387</v>
      </c>
      <c r="S404" s="866">
        <f t="shared" si="295"/>
        <v>42.222999999999999</v>
      </c>
      <c r="T404" s="866">
        <f t="shared" si="295"/>
        <v>-34.483000000000004</v>
      </c>
      <c r="U404" s="865">
        <f t="shared" si="295"/>
        <v>77.899000000000001</v>
      </c>
      <c r="V404" s="866">
        <f t="shared" si="295"/>
        <v>28.824000000000002</v>
      </c>
      <c r="W404" s="866">
        <f t="shared" si="295"/>
        <v>28.352999999999998</v>
      </c>
      <c r="X404" s="866">
        <f t="shared" si="295"/>
        <v>13.271999999999998</v>
      </c>
      <c r="Y404" s="866">
        <f t="shared" si="295"/>
        <v>50.22699999999999</v>
      </c>
      <c r="Z404" s="865">
        <f t="shared" si="295"/>
        <v>120.67599999999999</v>
      </c>
      <c r="AA404" s="866">
        <f t="shared" si="295"/>
        <v>72.334000000000003</v>
      </c>
      <c r="AB404" s="866">
        <f t="shared" si="295"/>
        <v>-30.935999999999996</v>
      </c>
      <c r="AC404" s="866">
        <f t="shared" si="295"/>
        <v>43.736999999999995</v>
      </c>
      <c r="AD404" s="866">
        <f t="shared" si="295"/>
        <v>49.945</v>
      </c>
      <c r="AE404" s="865">
        <f t="shared" si="295"/>
        <v>135.07999999999998</v>
      </c>
      <c r="AF404" s="866">
        <f t="shared" si="295"/>
        <v>31.541</v>
      </c>
      <c r="AG404" s="866">
        <f t="shared" si="295"/>
        <v>53.826000000000001</v>
      </c>
      <c r="AH404" s="866">
        <f t="shared" si="295"/>
        <v>15.427999999999997</v>
      </c>
      <c r="AI404" s="866">
        <f t="shared" si="295"/>
        <v>-5.9000000000001052E-2</v>
      </c>
      <c r="AJ404" s="865">
        <f t="shared" si="295"/>
        <v>100.73599999999999</v>
      </c>
      <c r="AK404" s="866">
        <f t="shared" si="295"/>
        <v>48.98</v>
      </c>
      <c r="AL404" s="866">
        <f t="shared" si="295"/>
        <v>194.74699999999999</v>
      </c>
      <c r="AM404" s="866">
        <f t="shared" si="295"/>
        <v>294.97399999999999</v>
      </c>
      <c r="AN404" s="866">
        <f t="shared" si="295"/>
        <v>-248.94299999999998</v>
      </c>
      <c r="AO404" s="865">
        <f t="shared" si="295"/>
        <v>289.75799999999998</v>
      </c>
      <c r="AP404" s="866">
        <f t="shared" si="295"/>
        <v>40.183999999999997</v>
      </c>
      <c r="AQ404" s="866">
        <f t="shared" si="295"/>
        <v>92.097999999999985</v>
      </c>
      <c r="AR404" s="866">
        <f t="shared" si="295"/>
        <v>111.76100000000001</v>
      </c>
      <c r="AS404" s="866">
        <f t="shared" si="295"/>
        <v>123.84500000000003</v>
      </c>
      <c r="AT404" s="865">
        <f t="shared" si="295"/>
        <v>367.88800000000003</v>
      </c>
      <c r="AU404" s="866">
        <f t="shared" si="295"/>
        <v>168.05399999999997</v>
      </c>
      <c r="AV404" s="866">
        <f t="shared" si="295"/>
        <v>189.649</v>
      </c>
      <c r="AW404" s="878">
        <f t="shared" si="295"/>
        <v>160.92100000000002</v>
      </c>
      <c r="AX404" s="867">
        <f>AX417*AX$402</f>
        <v>32.175099119717281</v>
      </c>
      <c r="AY404" s="864">
        <f>SUM(AU404,AV404,AW404,AX404)</f>
        <v>550.79909911971731</v>
      </c>
      <c r="AZ404" s="867">
        <f t="shared" ref="AZ404:BC405" ca="1" si="296">AZ417*AZ$402</f>
        <v>485.32930757385975</v>
      </c>
      <c r="BA404" s="867">
        <f t="shared" ca="1" si="296"/>
        <v>474.4205024003619</v>
      </c>
      <c r="BB404" s="867">
        <f t="shared" ca="1" si="296"/>
        <v>476.19682054134381</v>
      </c>
      <c r="BC404" s="867">
        <f t="shared" ca="1" si="296"/>
        <v>315.37355878731586</v>
      </c>
      <c r="BD404" s="864">
        <f ca="1">SUM(AZ404,BA404,BB404,BC404)</f>
        <v>1751.3201893028813</v>
      </c>
      <c r="BE404" s="864">
        <f ca="1">BE417*BE402</f>
        <v>2280.3517993465457</v>
      </c>
      <c r="BF404" s="864">
        <f ca="1">BF417*BF402</f>
        <v>2887.1984042743284</v>
      </c>
      <c r="BG404" s="864">
        <f ca="1">BG417*BG402</f>
        <v>3737.5919704797479</v>
      </c>
      <c r="BH404" s="821"/>
    </row>
    <row r="405" spans="1:60" customFormat="1" x14ac:dyDescent="0.25">
      <c r="A405" s="113" t="s">
        <v>92</v>
      </c>
      <c r="B405" s="441"/>
      <c r="C405" s="886">
        <f t="shared" ref="C405:AQ405" si="297">C566</f>
        <v>6.3280000000000003</v>
      </c>
      <c r="D405" s="886">
        <f t="shared" si="297"/>
        <v>-0.96199999999999997</v>
      </c>
      <c r="E405" s="886">
        <f t="shared" si="297"/>
        <v>-18.597000000000001</v>
      </c>
      <c r="F405" s="886">
        <f t="shared" si="297"/>
        <v>-30.071000000000002</v>
      </c>
      <c r="G405" s="885">
        <f t="shared" si="297"/>
        <v>-6.7480000000000002</v>
      </c>
      <c r="H405" s="885">
        <f t="shared" si="297"/>
        <v>-2.04</v>
      </c>
      <c r="I405" s="885">
        <f t="shared" si="297"/>
        <v>-2.4239999999999995</v>
      </c>
      <c r="J405" s="885">
        <f t="shared" si="297"/>
        <v>-10.832000000000001</v>
      </c>
      <c r="K405" s="886">
        <f t="shared" si="297"/>
        <v>-22.044</v>
      </c>
      <c r="L405" s="885">
        <f t="shared" si="297"/>
        <v>-13.103</v>
      </c>
      <c r="M405" s="885">
        <f t="shared" si="297"/>
        <v>-16.569000000000003</v>
      </c>
      <c r="N405" s="885">
        <f t="shared" si="297"/>
        <v>-7.8919999999999995</v>
      </c>
      <c r="O405" s="885">
        <f t="shared" si="297"/>
        <v>7.5010000000000012</v>
      </c>
      <c r="P405" s="886">
        <f t="shared" si="297"/>
        <v>-30.062999999999999</v>
      </c>
      <c r="Q405" s="885">
        <f t="shared" si="297"/>
        <v>-37.042000000000002</v>
      </c>
      <c r="R405" s="885">
        <f t="shared" si="297"/>
        <v>-4.2319999999999993</v>
      </c>
      <c r="S405" s="885">
        <f t="shared" si="297"/>
        <v>-29.417000000000002</v>
      </c>
      <c r="T405" s="885">
        <f t="shared" si="297"/>
        <v>12.036000000000001</v>
      </c>
      <c r="U405" s="886">
        <f t="shared" si="297"/>
        <v>-58.655000000000001</v>
      </c>
      <c r="V405" s="885">
        <f t="shared" si="297"/>
        <v>-16.603000000000002</v>
      </c>
      <c r="W405" s="885">
        <f t="shared" si="297"/>
        <v>-17.875999999999998</v>
      </c>
      <c r="X405" s="885">
        <f t="shared" si="297"/>
        <v>14.338000000000001</v>
      </c>
      <c r="Y405" s="885">
        <f t="shared" si="297"/>
        <v>-26.706000000000003</v>
      </c>
      <c r="Z405" s="886">
        <f t="shared" si="297"/>
        <v>-46.847000000000001</v>
      </c>
      <c r="AA405" s="885">
        <f t="shared" si="297"/>
        <v>-26.763999999999999</v>
      </c>
      <c r="AB405" s="885">
        <f t="shared" si="297"/>
        <v>-20.702000000000002</v>
      </c>
      <c r="AC405" s="885">
        <f t="shared" si="297"/>
        <v>-57.089999999999996</v>
      </c>
      <c r="AD405" s="885">
        <f t="shared" si="297"/>
        <v>-104.13199999999999</v>
      </c>
      <c r="AE405" s="886">
        <f t="shared" si="297"/>
        <v>-208.68799999999999</v>
      </c>
      <c r="AF405" s="885">
        <f t="shared" si="297"/>
        <v>-22.048999999999999</v>
      </c>
      <c r="AG405" s="885">
        <f t="shared" si="297"/>
        <v>-9.5390000000000015</v>
      </c>
      <c r="AH405" s="885">
        <f t="shared" si="297"/>
        <v>-39.452999999999996</v>
      </c>
      <c r="AI405" s="885">
        <f t="shared" si="297"/>
        <v>-14.478999999999999</v>
      </c>
      <c r="AJ405" s="886">
        <f t="shared" si="297"/>
        <v>-85.52</v>
      </c>
      <c r="AK405" s="885">
        <f t="shared" si="297"/>
        <v>6.6269999999999998</v>
      </c>
      <c r="AL405" s="885">
        <f t="shared" si="297"/>
        <v>35.518999999999998</v>
      </c>
      <c r="AM405" s="885">
        <f t="shared" si="297"/>
        <v>52.105000000000004</v>
      </c>
      <c r="AN405" s="885">
        <f t="shared" si="297"/>
        <v>-188.69400000000002</v>
      </c>
      <c r="AO405" s="886">
        <f t="shared" si="297"/>
        <v>-94.442999999999998</v>
      </c>
      <c r="AP405" s="885">
        <f t="shared" si="297"/>
        <v>46.619</v>
      </c>
      <c r="AQ405" s="885">
        <f t="shared" si="297"/>
        <v>223.30800000000002</v>
      </c>
      <c r="AR405" s="885">
        <f>AR566</f>
        <v>-40.277000000000015</v>
      </c>
      <c r="AS405" s="885">
        <f>AS566</f>
        <v>-159.584</v>
      </c>
      <c r="AT405" s="886">
        <f>AT566</f>
        <v>70.066000000000003</v>
      </c>
      <c r="AU405" s="885">
        <f t="shared" ref="AU405" si="298">AU566</f>
        <v>159.733</v>
      </c>
      <c r="AV405" s="885">
        <f>AV566</f>
        <v>51.12700000000001</v>
      </c>
      <c r="AW405" s="891">
        <f t="shared" ref="AW405" si="299">AW566</f>
        <v>50.966999999999985</v>
      </c>
      <c r="AX405" s="882">
        <f>AX418*AX$402</f>
        <v>-25.025077093113442</v>
      </c>
      <c r="AY405" s="881">
        <f>SUM(AU405,AV405,AW405,AX405)</f>
        <v>236.80192290688655</v>
      </c>
      <c r="AZ405" s="882">
        <f t="shared" ca="1" si="296"/>
        <v>-101.11027241122079</v>
      </c>
      <c r="BA405" s="882">
        <f t="shared" ca="1" si="296"/>
        <v>-98.837604666742067</v>
      </c>
      <c r="BB405" s="882">
        <f t="shared" ca="1" si="296"/>
        <v>-99.207670946113296</v>
      </c>
      <c r="BC405" s="882">
        <f t="shared" ca="1" si="296"/>
        <v>-65.702824747357482</v>
      </c>
      <c r="BD405" s="881">
        <f ca="1">SUM(AZ405,BA405,BB405,BC405)</f>
        <v>-364.85837277143366</v>
      </c>
      <c r="BE405" s="881">
        <f ca="1">BE418*BE402</f>
        <v>-475.07329153053035</v>
      </c>
      <c r="BF405" s="881">
        <f ca="1">BF418*BF402</f>
        <v>-601.49966755715184</v>
      </c>
      <c r="BG405" s="881">
        <f ca="1">BG418*BG402</f>
        <v>-778.66499384994756</v>
      </c>
      <c r="BH405" s="821"/>
    </row>
    <row r="406" spans="1:60" customFormat="1" x14ac:dyDescent="0.25">
      <c r="A406" s="61" t="s">
        <v>93</v>
      </c>
      <c r="B406" s="505"/>
      <c r="C406" s="872">
        <f t="shared" ref="C406:AH406" si="300">C402-SUM(C404:C405)</f>
        <v>115.86000000000001</v>
      </c>
      <c r="D406" s="872">
        <f t="shared" si="300"/>
        <v>160.85299999999995</v>
      </c>
      <c r="E406" s="872">
        <f t="shared" si="300"/>
        <v>226.12600000000012</v>
      </c>
      <c r="F406" s="872">
        <f t="shared" si="300"/>
        <v>17.152000000000189</v>
      </c>
      <c r="G406" s="871">
        <f t="shared" si="300"/>
        <v>2.6890000000000276</v>
      </c>
      <c r="H406" s="871">
        <f t="shared" si="300"/>
        <v>29.471000000000071</v>
      </c>
      <c r="I406" s="871">
        <f t="shared" si="300"/>
        <v>31.822000000000063</v>
      </c>
      <c r="J406" s="871">
        <f t="shared" si="300"/>
        <v>48.420999999999104</v>
      </c>
      <c r="K406" s="872">
        <f t="shared" si="300"/>
        <v>112.40299999999998</v>
      </c>
      <c r="L406" s="871">
        <f t="shared" si="300"/>
        <v>53.114999999999917</v>
      </c>
      <c r="M406" s="871">
        <f t="shared" si="300"/>
        <v>71.017999999999972</v>
      </c>
      <c r="N406" s="871">
        <f t="shared" si="300"/>
        <v>59.29500000000003</v>
      </c>
      <c r="O406" s="871">
        <f t="shared" si="300"/>
        <v>83.370999999999711</v>
      </c>
      <c r="P406" s="872">
        <f t="shared" si="300"/>
        <v>266.79899999999969</v>
      </c>
      <c r="Q406" s="871">
        <f t="shared" si="300"/>
        <v>23.695999999999785</v>
      </c>
      <c r="R406" s="871">
        <f t="shared" si="300"/>
        <v>26.33499999999998</v>
      </c>
      <c r="S406" s="871">
        <f t="shared" si="300"/>
        <v>29.43199999999991</v>
      </c>
      <c r="T406" s="871">
        <f t="shared" si="300"/>
        <v>43.178000000000786</v>
      </c>
      <c r="U406" s="872">
        <f t="shared" si="300"/>
        <v>122.6410000000007</v>
      </c>
      <c r="V406" s="871">
        <f t="shared" si="300"/>
        <v>27.658000000000147</v>
      </c>
      <c r="W406" s="871">
        <f t="shared" si="300"/>
        <v>40.755000000000237</v>
      </c>
      <c r="X406" s="871">
        <f t="shared" si="300"/>
        <v>51.517000000000067</v>
      </c>
      <c r="Y406" s="871">
        <f t="shared" si="300"/>
        <v>66.747999999999308</v>
      </c>
      <c r="Z406" s="872">
        <f t="shared" si="300"/>
        <v>186.67799999999968</v>
      </c>
      <c r="AA406" s="871">
        <f t="shared" si="300"/>
        <v>178.22200000000021</v>
      </c>
      <c r="AB406" s="871">
        <f t="shared" si="300"/>
        <v>65.600000000000023</v>
      </c>
      <c r="AC406" s="871">
        <f t="shared" si="300"/>
        <v>129.58999999999983</v>
      </c>
      <c r="AD406" s="871">
        <f t="shared" si="300"/>
        <v>185.51699999999985</v>
      </c>
      <c r="AE406" s="872">
        <f t="shared" si="300"/>
        <v>558.92899999999963</v>
      </c>
      <c r="AF406" s="871">
        <f t="shared" si="300"/>
        <v>290.12400000000008</v>
      </c>
      <c r="AG406" s="871">
        <f t="shared" si="300"/>
        <v>384.34899999999999</v>
      </c>
      <c r="AH406" s="871">
        <f t="shared" si="300"/>
        <v>402.83499999999964</v>
      </c>
      <c r="AI406" s="871">
        <f t="shared" ref="AI406:AY406" si="301">AI402-SUM(AI404:AI405)</f>
        <v>133.93400000000008</v>
      </c>
      <c r="AJ406" s="872">
        <f t="shared" si="301"/>
        <v>1211.2419999999997</v>
      </c>
      <c r="AK406" s="871">
        <f t="shared" si="301"/>
        <v>344.05200000000025</v>
      </c>
      <c r="AL406" s="871">
        <f t="shared" si="301"/>
        <v>270.64999999999986</v>
      </c>
      <c r="AM406" s="871">
        <f t="shared" si="301"/>
        <v>665.24399999999991</v>
      </c>
      <c r="AN406" s="871">
        <f t="shared" si="301"/>
        <v>586.97000000000037</v>
      </c>
      <c r="AO406" s="872">
        <f t="shared" si="301"/>
        <v>1866.9160000000006</v>
      </c>
      <c r="AP406" s="871">
        <f t="shared" si="301"/>
        <v>709.06699999999989</v>
      </c>
      <c r="AQ406" s="871">
        <f t="shared" si="301"/>
        <v>720.19600000000037</v>
      </c>
      <c r="AR406" s="871">
        <f>AR402-SUM(AR404:AR405)</f>
        <v>789.97599999999932</v>
      </c>
      <c r="AS406" s="871">
        <f>AS402-SUM(AS404:AS405)</f>
        <v>542.15600000000336</v>
      </c>
      <c r="AT406" s="872">
        <f>AT402-SUM(AT404:AT405)</f>
        <v>2761.3950000000004</v>
      </c>
      <c r="AU406" s="871">
        <f t="shared" ref="AU406" si="302">AU402-SUM(AU404:AU405)</f>
        <v>1706.7150000000001</v>
      </c>
      <c r="AV406" s="871">
        <f>AV402-SUM(AV404:AV405)</f>
        <v>1353.0130000000001</v>
      </c>
      <c r="AW406" s="873">
        <f t="shared" ref="AW406" si="303">AW402-SUM(AW404:AW405)</f>
        <v>1449.0709999999997</v>
      </c>
      <c r="AX406" s="870">
        <f t="shared" si="301"/>
        <v>350.35107930358816</v>
      </c>
      <c r="AY406" s="869">
        <f t="shared" si="301"/>
        <v>4859.1500793035902</v>
      </c>
      <c r="AZ406" s="870">
        <f t="shared" ref="AZ406:BG406" ca="1" si="304">AZ402-SUM(AZ404:AZ405)</f>
        <v>1637.9864130617766</v>
      </c>
      <c r="BA406" s="870">
        <f t="shared" ca="1" si="304"/>
        <v>1601.1691956012214</v>
      </c>
      <c r="BB406" s="870">
        <f t="shared" ca="1" si="304"/>
        <v>1607.1642693270355</v>
      </c>
      <c r="BC406" s="870">
        <f t="shared" ca="1" si="304"/>
        <v>1064.3857609071911</v>
      </c>
      <c r="BD406" s="869">
        <f t="shared" ca="1" si="304"/>
        <v>5910.7056388972242</v>
      </c>
      <c r="BE406" s="869">
        <f t="shared" ca="1" si="304"/>
        <v>7696.1873227945907</v>
      </c>
      <c r="BF406" s="869">
        <f t="shared" ca="1" si="304"/>
        <v>9744.2946144258585</v>
      </c>
      <c r="BG406" s="869">
        <f t="shared" ca="1" si="304"/>
        <v>12614.37290036915</v>
      </c>
      <c r="BH406" s="824"/>
    </row>
    <row r="407" spans="1:60" customFormat="1" x14ac:dyDescent="0.25">
      <c r="A407" s="367" t="s">
        <v>94</v>
      </c>
      <c r="B407" s="289"/>
      <c r="C407" s="864"/>
      <c r="D407" s="864"/>
      <c r="E407" s="864"/>
      <c r="F407" s="864"/>
      <c r="G407" s="867"/>
      <c r="H407" s="867"/>
      <c r="I407" s="867"/>
      <c r="J407" s="867"/>
      <c r="K407" s="864"/>
      <c r="L407" s="867"/>
      <c r="M407" s="867"/>
      <c r="N407" s="867"/>
      <c r="O407" s="867"/>
      <c r="P407" s="864"/>
      <c r="Q407" s="867"/>
      <c r="R407" s="867"/>
      <c r="S407" s="867"/>
      <c r="T407" s="867"/>
      <c r="U407" s="864"/>
      <c r="V407" s="867"/>
      <c r="W407" s="867"/>
      <c r="X407" s="867"/>
      <c r="Y407" s="867"/>
      <c r="Z407" s="864"/>
      <c r="AA407" s="867"/>
      <c r="AB407" s="867"/>
      <c r="AC407" s="867"/>
      <c r="AD407" s="867"/>
      <c r="AE407" s="864"/>
      <c r="AF407" s="867"/>
      <c r="AG407" s="867"/>
      <c r="AH407" s="867"/>
      <c r="AI407" s="867"/>
      <c r="AJ407" s="864"/>
      <c r="AK407" s="867"/>
      <c r="AL407" s="867"/>
      <c r="AM407" s="867"/>
      <c r="AN407" s="867"/>
      <c r="AO407" s="864"/>
      <c r="AP407" s="867"/>
      <c r="AQ407" s="867"/>
      <c r="AR407" s="867"/>
      <c r="AS407" s="867"/>
      <c r="AT407" s="864"/>
      <c r="AU407" s="867"/>
      <c r="AV407" s="867"/>
      <c r="AW407" s="868"/>
      <c r="AX407" s="867"/>
      <c r="AY407" s="864">
        <f>SUM(AU407,AV407,AW407,AX407)</f>
        <v>0</v>
      </c>
      <c r="AZ407" s="867"/>
      <c r="BA407" s="867"/>
      <c r="BB407" s="867"/>
      <c r="BC407" s="867"/>
      <c r="BD407" s="864">
        <f>SUM(AZ407,BA407,BB407,BC407)</f>
        <v>0</v>
      </c>
      <c r="BE407" s="864"/>
      <c r="BF407" s="864"/>
      <c r="BG407" s="864"/>
      <c r="BH407" s="821"/>
    </row>
    <row r="408" spans="1:60" customFormat="1" x14ac:dyDescent="0.25">
      <c r="A408" s="367" t="s">
        <v>95</v>
      </c>
      <c r="B408" s="289"/>
      <c r="C408" s="864"/>
      <c r="D408" s="864"/>
      <c r="E408" s="864"/>
      <c r="F408" s="864"/>
      <c r="G408" s="867"/>
      <c r="H408" s="867"/>
      <c r="I408" s="867"/>
      <c r="J408" s="867"/>
      <c r="K408" s="864"/>
      <c r="L408" s="867"/>
      <c r="M408" s="867"/>
      <c r="N408" s="867"/>
      <c r="O408" s="867"/>
      <c r="P408" s="864"/>
      <c r="Q408" s="867"/>
      <c r="R408" s="867"/>
      <c r="S408" s="867"/>
      <c r="T408" s="867"/>
      <c r="U408" s="864"/>
      <c r="V408" s="867"/>
      <c r="W408" s="867"/>
      <c r="X408" s="867"/>
      <c r="Y408" s="867"/>
      <c r="Z408" s="864"/>
      <c r="AA408" s="867"/>
      <c r="AB408" s="867"/>
      <c r="AC408" s="867"/>
      <c r="AD408" s="867"/>
      <c r="AE408" s="864"/>
      <c r="AF408" s="867"/>
      <c r="AG408" s="867"/>
      <c r="AH408" s="867"/>
      <c r="AI408" s="867"/>
      <c r="AJ408" s="864"/>
      <c r="AK408" s="867"/>
      <c r="AL408" s="867"/>
      <c r="AM408" s="867"/>
      <c r="AN408" s="867"/>
      <c r="AO408" s="864"/>
      <c r="AP408" s="867"/>
      <c r="AQ408" s="867"/>
      <c r="AR408" s="867"/>
      <c r="AS408" s="867"/>
      <c r="AT408" s="864"/>
      <c r="AU408" s="867"/>
      <c r="AV408" s="867"/>
      <c r="AW408" s="868"/>
      <c r="AX408" s="867"/>
      <c r="AY408" s="864">
        <f>SUM(AU408,AV408,AW408,AX408)</f>
        <v>0</v>
      </c>
      <c r="AZ408" s="867"/>
      <c r="BA408" s="867"/>
      <c r="BB408" s="867"/>
      <c r="BC408" s="867"/>
      <c r="BD408" s="864">
        <f>SUM(AZ408,BA408,BB408,BC408)</f>
        <v>0</v>
      </c>
      <c r="BE408" s="864"/>
      <c r="BF408" s="864"/>
      <c r="BG408" s="864"/>
      <c r="BH408" s="821"/>
    </row>
    <row r="409" spans="1:60" customFormat="1" x14ac:dyDescent="0.25">
      <c r="A409" s="113" t="s">
        <v>96</v>
      </c>
      <c r="B409" s="441"/>
      <c r="C409" s="881"/>
      <c r="D409" s="881"/>
      <c r="E409" s="881"/>
      <c r="F409" s="881"/>
      <c r="G409" s="882"/>
      <c r="H409" s="882"/>
      <c r="I409" s="882"/>
      <c r="J409" s="882"/>
      <c r="K409" s="881"/>
      <c r="L409" s="882"/>
      <c r="M409" s="882"/>
      <c r="N409" s="882"/>
      <c r="O409" s="882"/>
      <c r="P409" s="881"/>
      <c r="Q409" s="882"/>
      <c r="R409" s="882"/>
      <c r="S409" s="882"/>
      <c r="T409" s="882"/>
      <c r="U409" s="881"/>
      <c r="V409" s="882"/>
      <c r="W409" s="882"/>
      <c r="X409" s="882"/>
      <c r="Y409" s="882"/>
      <c r="Z409" s="881"/>
      <c r="AA409" s="882"/>
      <c r="AB409" s="882"/>
      <c r="AC409" s="882"/>
      <c r="AD409" s="882"/>
      <c r="AE409" s="881"/>
      <c r="AF409" s="882"/>
      <c r="AG409" s="882"/>
      <c r="AH409" s="882"/>
      <c r="AI409" s="882"/>
      <c r="AJ409" s="881"/>
      <c r="AK409" s="882"/>
      <c r="AL409" s="882"/>
      <c r="AM409" s="882"/>
      <c r="AN409" s="882"/>
      <c r="AO409" s="881"/>
      <c r="AP409" s="882"/>
      <c r="AQ409" s="882"/>
      <c r="AR409" s="882"/>
      <c r="AS409" s="882"/>
      <c r="AT409" s="881"/>
      <c r="AU409" s="882"/>
      <c r="AV409" s="882"/>
      <c r="AW409" s="883"/>
      <c r="AX409" s="882"/>
      <c r="AY409" s="881">
        <f>SUM(AU409,AV409,AW409,AX409)</f>
        <v>0</v>
      </c>
      <c r="AZ409" s="882"/>
      <c r="BA409" s="882"/>
      <c r="BB409" s="882"/>
      <c r="BC409" s="882"/>
      <c r="BD409" s="881">
        <f>SUM(AZ409,BA409,BB409,BC409)</f>
        <v>0</v>
      </c>
      <c r="BE409" s="881"/>
      <c r="BF409" s="881"/>
      <c r="BG409" s="881"/>
      <c r="BH409" s="821"/>
    </row>
    <row r="410" spans="1:60" customFormat="1" x14ac:dyDescent="0.25">
      <c r="A410" s="61" t="s">
        <v>97</v>
      </c>
      <c r="B410" s="505"/>
      <c r="C410" s="872">
        <f t="shared" ref="C410:AH410" si="305">C406-SUM(C407:C409)</f>
        <v>115.86000000000001</v>
      </c>
      <c r="D410" s="872">
        <f t="shared" si="305"/>
        <v>160.85299999999995</v>
      </c>
      <c r="E410" s="872">
        <f t="shared" si="305"/>
        <v>226.12600000000012</v>
      </c>
      <c r="F410" s="872">
        <f t="shared" si="305"/>
        <v>17.152000000000189</v>
      </c>
      <c r="G410" s="871">
        <f t="shared" si="305"/>
        <v>2.6890000000000276</v>
      </c>
      <c r="H410" s="871">
        <f t="shared" si="305"/>
        <v>29.471000000000071</v>
      </c>
      <c r="I410" s="871">
        <f t="shared" si="305"/>
        <v>31.822000000000063</v>
      </c>
      <c r="J410" s="871">
        <f t="shared" si="305"/>
        <v>48.420999999999104</v>
      </c>
      <c r="K410" s="872">
        <f t="shared" si="305"/>
        <v>112.40299999999998</v>
      </c>
      <c r="L410" s="871">
        <f t="shared" si="305"/>
        <v>53.114999999999917</v>
      </c>
      <c r="M410" s="871">
        <f t="shared" si="305"/>
        <v>71.017999999999972</v>
      </c>
      <c r="N410" s="871">
        <f t="shared" si="305"/>
        <v>59.29500000000003</v>
      </c>
      <c r="O410" s="871">
        <f t="shared" si="305"/>
        <v>83.370999999999711</v>
      </c>
      <c r="P410" s="872">
        <f t="shared" si="305"/>
        <v>266.79899999999969</v>
      </c>
      <c r="Q410" s="871">
        <f t="shared" si="305"/>
        <v>23.695999999999785</v>
      </c>
      <c r="R410" s="871">
        <f t="shared" si="305"/>
        <v>26.33499999999998</v>
      </c>
      <c r="S410" s="871">
        <f t="shared" si="305"/>
        <v>29.43199999999991</v>
      </c>
      <c r="T410" s="871">
        <f t="shared" si="305"/>
        <v>43.178000000000786</v>
      </c>
      <c r="U410" s="872">
        <f t="shared" si="305"/>
        <v>122.6410000000007</v>
      </c>
      <c r="V410" s="871">
        <f t="shared" si="305"/>
        <v>27.658000000000147</v>
      </c>
      <c r="W410" s="871">
        <f t="shared" si="305"/>
        <v>40.755000000000237</v>
      </c>
      <c r="X410" s="871">
        <f t="shared" si="305"/>
        <v>51.517000000000067</v>
      </c>
      <c r="Y410" s="871">
        <f t="shared" si="305"/>
        <v>66.747999999999308</v>
      </c>
      <c r="Z410" s="872">
        <f t="shared" si="305"/>
        <v>186.67799999999968</v>
      </c>
      <c r="AA410" s="871">
        <f t="shared" si="305"/>
        <v>178.22200000000021</v>
      </c>
      <c r="AB410" s="871">
        <f t="shared" si="305"/>
        <v>65.600000000000023</v>
      </c>
      <c r="AC410" s="871">
        <f t="shared" si="305"/>
        <v>129.58999999999983</v>
      </c>
      <c r="AD410" s="871">
        <f t="shared" si="305"/>
        <v>185.51699999999985</v>
      </c>
      <c r="AE410" s="872">
        <f t="shared" si="305"/>
        <v>558.92899999999963</v>
      </c>
      <c r="AF410" s="871">
        <f t="shared" si="305"/>
        <v>290.12400000000008</v>
      </c>
      <c r="AG410" s="871">
        <f t="shared" si="305"/>
        <v>384.34899999999999</v>
      </c>
      <c r="AH410" s="871">
        <f t="shared" si="305"/>
        <v>402.83499999999964</v>
      </c>
      <c r="AI410" s="871">
        <f t="shared" ref="AI410:AY410" si="306">AI406-SUM(AI407:AI409)</f>
        <v>133.93400000000008</v>
      </c>
      <c r="AJ410" s="872">
        <f t="shared" si="306"/>
        <v>1211.2419999999997</v>
      </c>
      <c r="AK410" s="871">
        <f t="shared" si="306"/>
        <v>344.05200000000025</v>
      </c>
      <c r="AL410" s="871">
        <f t="shared" si="306"/>
        <v>270.64999999999986</v>
      </c>
      <c r="AM410" s="871">
        <f t="shared" si="306"/>
        <v>665.24399999999991</v>
      </c>
      <c r="AN410" s="871">
        <f t="shared" si="306"/>
        <v>586.97000000000037</v>
      </c>
      <c r="AO410" s="872">
        <f t="shared" si="306"/>
        <v>1866.9160000000006</v>
      </c>
      <c r="AP410" s="871">
        <f t="shared" si="306"/>
        <v>709.06699999999989</v>
      </c>
      <c r="AQ410" s="871">
        <f t="shared" si="306"/>
        <v>720.19600000000037</v>
      </c>
      <c r="AR410" s="871">
        <f>AR406-SUM(AR407:AR409)</f>
        <v>789.97599999999932</v>
      </c>
      <c r="AS410" s="871">
        <f>AS406-SUM(AS407:AS409)</f>
        <v>542.15600000000336</v>
      </c>
      <c r="AT410" s="872">
        <f>AT406-SUM(AT407:AT409)</f>
        <v>2761.3950000000004</v>
      </c>
      <c r="AU410" s="871">
        <f t="shared" ref="AU410" si="307">AU406-SUM(AU407:AU409)</f>
        <v>1706.7150000000001</v>
      </c>
      <c r="AV410" s="871">
        <f>AV406-SUM(AV407:AV409)</f>
        <v>1353.0130000000001</v>
      </c>
      <c r="AW410" s="873">
        <f t="shared" ref="AW410" si="308">AW406-SUM(AW407:AW409)</f>
        <v>1449.0709999999997</v>
      </c>
      <c r="AX410" s="870">
        <f t="shared" si="306"/>
        <v>350.35107930358816</v>
      </c>
      <c r="AY410" s="869">
        <f t="shared" si="306"/>
        <v>4859.1500793035902</v>
      </c>
      <c r="AZ410" s="870">
        <f t="shared" ref="AZ410:BG410" ca="1" si="309">AZ406-SUM(AZ407:AZ409)</f>
        <v>1637.9864130617766</v>
      </c>
      <c r="BA410" s="870">
        <f t="shared" ca="1" si="309"/>
        <v>1601.1691956012214</v>
      </c>
      <c r="BB410" s="870">
        <f t="shared" ca="1" si="309"/>
        <v>1607.1642693270355</v>
      </c>
      <c r="BC410" s="870">
        <f t="shared" ca="1" si="309"/>
        <v>1064.3857609071911</v>
      </c>
      <c r="BD410" s="869">
        <f t="shared" ca="1" si="309"/>
        <v>5910.7056388972242</v>
      </c>
      <c r="BE410" s="869">
        <f t="shared" ca="1" si="309"/>
        <v>7696.1873227945907</v>
      </c>
      <c r="BF410" s="869">
        <f t="shared" ca="1" si="309"/>
        <v>9744.2946144258585</v>
      </c>
      <c r="BG410" s="869">
        <f t="shared" ca="1" si="309"/>
        <v>12614.37290036915</v>
      </c>
      <c r="BH410" s="824"/>
    </row>
    <row r="411" spans="1:60" customFormat="1" x14ac:dyDescent="0.25">
      <c r="A411" s="337" t="s">
        <v>98</v>
      </c>
      <c r="B411" s="511"/>
      <c r="C411" s="907">
        <f>-C375</f>
        <v>0</v>
      </c>
      <c r="D411" s="907">
        <f t="shared" ref="D411:AW411" si="310">-D375</f>
        <v>0</v>
      </c>
      <c r="E411" s="907">
        <f t="shared" si="310"/>
        <v>-1.7000000000000001E-2</v>
      </c>
      <c r="F411" s="907">
        <f t="shared" si="310"/>
        <v>-0.19500000000000001</v>
      </c>
      <c r="G411" s="908">
        <f t="shared" si="310"/>
        <v>-4.9000000000000002E-2</v>
      </c>
      <c r="H411" s="908">
        <f t="shared" si="310"/>
        <v>0</v>
      </c>
      <c r="I411" s="908">
        <f t="shared" si="310"/>
        <v>0</v>
      </c>
      <c r="J411" s="908">
        <f t="shared" si="310"/>
        <v>0</v>
      </c>
      <c r="K411" s="907">
        <f t="shared" si="310"/>
        <v>-4.9000000000000002E-2</v>
      </c>
      <c r="L411" s="908">
        <f t="shared" si="310"/>
        <v>0</v>
      </c>
      <c r="M411" s="908">
        <f t="shared" si="310"/>
        <v>0</v>
      </c>
      <c r="N411" s="908">
        <f t="shared" si="310"/>
        <v>0</v>
      </c>
      <c r="O411" s="908">
        <f t="shared" si="310"/>
        <v>0</v>
      </c>
      <c r="P411" s="907">
        <f t="shared" si="310"/>
        <v>0</v>
      </c>
      <c r="Q411" s="908">
        <f t="shared" si="310"/>
        <v>0</v>
      </c>
      <c r="R411" s="908">
        <f t="shared" si="310"/>
        <v>0</v>
      </c>
      <c r="S411" s="908">
        <f t="shared" si="310"/>
        <v>0</v>
      </c>
      <c r="T411" s="908">
        <f t="shared" si="310"/>
        <v>0</v>
      </c>
      <c r="U411" s="907">
        <f t="shared" si="310"/>
        <v>0</v>
      </c>
      <c r="V411" s="908">
        <f t="shared" si="310"/>
        <v>0</v>
      </c>
      <c r="W411" s="908">
        <f t="shared" si="310"/>
        <v>0</v>
      </c>
      <c r="X411" s="908">
        <f t="shared" si="310"/>
        <v>0</v>
      </c>
      <c r="Y411" s="908">
        <f t="shared" si="310"/>
        <v>0</v>
      </c>
      <c r="Z411" s="907">
        <f t="shared" si="310"/>
        <v>0</v>
      </c>
      <c r="AA411" s="908">
        <f t="shared" si="310"/>
        <v>0</v>
      </c>
      <c r="AB411" s="908">
        <f t="shared" si="310"/>
        <v>0</v>
      </c>
      <c r="AC411" s="908">
        <f t="shared" si="310"/>
        <v>0</v>
      </c>
      <c r="AD411" s="908">
        <f t="shared" si="310"/>
        <v>0</v>
      </c>
      <c r="AE411" s="907">
        <f t="shared" si="310"/>
        <v>0</v>
      </c>
      <c r="AF411" s="908">
        <f t="shared" si="310"/>
        <v>0</v>
      </c>
      <c r="AG411" s="908">
        <f t="shared" si="310"/>
        <v>0</v>
      </c>
      <c r="AH411" s="908">
        <f t="shared" si="310"/>
        <v>0</v>
      </c>
      <c r="AI411" s="908">
        <f t="shared" si="310"/>
        <v>0</v>
      </c>
      <c r="AJ411" s="907">
        <f t="shared" si="310"/>
        <v>0</v>
      </c>
      <c r="AK411" s="908">
        <f t="shared" si="310"/>
        <v>0</v>
      </c>
      <c r="AL411" s="908">
        <f t="shared" si="310"/>
        <v>0</v>
      </c>
      <c r="AM411" s="908">
        <f t="shared" si="310"/>
        <v>0</v>
      </c>
      <c r="AN411" s="908">
        <f t="shared" si="310"/>
        <v>0</v>
      </c>
      <c r="AO411" s="907">
        <f t="shared" si="310"/>
        <v>0</v>
      </c>
      <c r="AP411" s="908">
        <f t="shared" si="310"/>
        <v>0</v>
      </c>
      <c r="AQ411" s="908">
        <f t="shared" si="310"/>
        <v>0</v>
      </c>
      <c r="AR411" s="908">
        <f t="shared" si="310"/>
        <v>0</v>
      </c>
      <c r="AS411" s="908">
        <f t="shared" si="310"/>
        <v>0</v>
      </c>
      <c r="AT411" s="907">
        <f t="shared" si="310"/>
        <v>0</v>
      </c>
      <c r="AU411" s="908">
        <f t="shared" si="310"/>
        <v>0</v>
      </c>
      <c r="AV411" s="908">
        <f t="shared" si="310"/>
        <v>0</v>
      </c>
      <c r="AW411" s="909">
        <f t="shared" si="310"/>
        <v>0</v>
      </c>
      <c r="AX411" s="908"/>
      <c r="AY411" s="907">
        <f>SUM(AU411,AV411,AW411,AX411)</f>
        <v>0</v>
      </c>
      <c r="AZ411" s="908"/>
      <c r="BA411" s="908"/>
      <c r="BB411" s="908"/>
      <c r="BC411" s="908"/>
      <c r="BD411" s="907">
        <f>SUM(AZ411,BA411,BB411,BC411)</f>
        <v>0</v>
      </c>
      <c r="BE411" s="907"/>
      <c r="BF411" s="907"/>
      <c r="BG411" s="907"/>
      <c r="BH411" s="821"/>
    </row>
    <row r="412" spans="1:60" customFormat="1" x14ac:dyDescent="0.25">
      <c r="A412" s="61" t="s">
        <v>99</v>
      </c>
      <c r="B412" s="505"/>
      <c r="C412" s="872">
        <f t="shared" ref="C412:AH412" si="311">C410-C411</f>
        <v>115.86000000000001</v>
      </c>
      <c r="D412" s="872">
        <f t="shared" si="311"/>
        <v>160.85299999999995</v>
      </c>
      <c r="E412" s="872">
        <f t="shared" si="311"/>
        <v>226.14300000000011</v>
      </c>
      <c r="F412" s="872">
        <f t="shared" si="311"/>
        <v>17.34700000000019</v>
      </c>
      <c r="G412" s="871">
        <f t="shared" si="311"/>
        <v>2.7380000000000275</v>
      </c>
      <c r="H412" s="871">
        <f t="shared" si="311"/>
        <v>29.471000000000071</v>
      </c>
      <c r="I412" s="871">
        <f t="shared" si="311"/>
        <v>31.822000000000063</v>
      </c>
      <c r="J412" s="871">
        <f t="shared" si="311"/>
        <v>48.420999999999104</v>
      </c>
      <c r="K412" s="872">
        <f t="shared" si="311"/>
        <v>112.45199999999998</v>
      </c>
      <c r="L412" s="871">
        <f t="shared" si="311"/>
        <v>53.114999999999917</v>
      </c>
      <c r="M412" s="871">
        <f t="shared" si="311"/>
        <v>71.017999999999972</v>
      </c>
      <c r="N412" s="871">
        <f t="shared" si="311"/>
        <v>59.29500000000003</v>
      </c>
      <c r="O412" s="871">
        <f t="shared" si="311"/>
        <v>83.370999999999711</v>
      </c>
      <c r="P412" s="872">
        <f t="shared" si="311"/>
        <v>266.79899999999969</v>
      </c>
      <c r="Q412" s="871">
        <f t="shared" si="311"/>
        <v>23.695999999999785</v>
      </c>
      <c r="R412" s="871">
        <f t="shared" si="311"/>
        <v>26.33499999999998</v>
      </c>
      <c r="S412" s="871">
        <f t="shared" si="311"/>
        <v>29.43199999999991</v>
      </c>
      <c r="T412" s="871">
        <f t="shared" si="311"/>
        <v>43.178000000000786</v>
      </c>
      <c r="U412" s="872">
        <f t="shared" si="311"/>
        <v>122.6410000000007</v>
      </c>
      <c r="V412" s="871">
        <f t="shared" si="311"/>
        <v>27.658000000000147</v>
      </c>
      <c r="W412" s="871">
        <f t="shared" si="311"/>
        <v>40.755000000000237</v>
      </c>
      <c r="X412" s="871">
        <f t="shared" si="311"/>
        <v>51.517000000000067</v>
      </c>
      <c r="Y412" s="871">
        <f t="shared" si="311"/>
        <v>66.747999999999308</v>
      </c>
      <c r="Z412" s="872">
        <f t="shared" si="311"/>
        <v>186.67799999999968</v>
      </c>
      <c r="AA412" s="871">
        <f t="shared" si="311"/>
        <v>178.22200000000021</v>
      </c>
      <c r="AB412" s="871">
        <f t="shared" si="311"/>
        <v>65.600000000000023</v>
      </c>
      <c r="AC412" s="871">
        <f t="shared" si="311"/>
        <v>129.58999999999983</v>
      </c>
      <c r="AD412" s="871">
        <f t="shared" si="311"/>
        <v>185.51699999999985</v>
      </c>
      <c r="AE412" s="872">
        <f t="shared" si="311"/>
        <v>558.92899999999963</v>
      </c>
      <c r="AF412" s="871">
        <f t="shared" si="311"/>
        <v>290.12400000000008</v>
      </c>
      <c r="AG412" s="871">
        <f t="shared" si="311"/>
        <v>384.34899999999999</v>
      </c>
      <c r="AH412" s="871">
        <f t="shared" si="311"/>
        <v>402.83499999999964</v>
      </c>
      <c r="AI412" s="871">
        <f t="shared" ref="AI412:AY412" si="312">AI410-AI411</f>
        <v>133.93400000000008</v>
      </c>
      <c r="AJ412" s="872">
        <f t="shared" si="312"/>
        <v>1211.2419999999997</v>
      </c>
      <c r="AK412" s="871">
        <f t="shared" si="312"/>
        <v>344.05200000000025</v>
      </c>
      <c r="AL412" s="871">
        <f t="shared" si="312"/>
        <v>270.64999999999986</v>
      </c>
      <c r="AM412" s="871">
        <f t="shared" si="312"/>
        <v>665.24399999999991</v>
      </c>
      <c r="AN412" s="871">
        <f t="shared" si="312"/>
        <v>586.97000000000037</v>
      </c>
      <c r="AO412" s="872">
        <f t="shared" si="312"/>
        <v>1866.9160000000006</v>
      </c>
      <c r="AP412" s="871">
        <f t="shared" si="312"/>
        <v>709.06699999999989</v>
      </c>
      <c r="AQ412" s="871">
        <f t="shared" si="312"/>
        <v>720.19600000000037</v>
      </c>
      <c r="AR412" s="871">
        <f>AR410-AR411</f>
        <v>789.97599999999932</v>
      </c>
      <c r="AS412" s="871">
        <f>AS410-AS411</f>
        <v>542.15600000000336</v>
      </c>
      <c r="AT412" s="872">
        <f>AT410-AT411</f>
        <v>2761.3950000000004</v>
      </c>
      <c r="AU412" s="871">
        <f t="shared" ref="AU412" si="313">AU410-AU411</f>
        <v>1706.7150000000001</v>
      </c>
      <c r="AV412" s="871">
        <f>AV410-AV411</f>
        <v>1353.0130000000001</v>
      </c>
      <c r="AW412" s="873">
        <f t="shared" ref="AW412" si="314">AW410-AW411</f>
        <v>1449.0709999999997</v>
      </c>
      <c r="AX412" s="870">
        <f t="shared" si="312"/>
        <v>350.35107930358816</v>
      </c>
      <c r="AY412" s="869">
        <f t="shared" si="312"/>
        <v>4859.1500793035902</v>
      </c>
      <c r="AZ412" s="870">
        <f t="shared" ref="AZ412:BG412" ca="1" si="315">AZ410-AZ411</f>
        <v>1637.9864130617766</v>
      </c>
      <c r="BA412" s="870">
        <f t="shared" ca="1" si="315"/>
        <v>1601.1691956012214</v>
      </c>
      <c r="BB412" s="870">
        <f t="shared" ca="1" si="315"/>
        <v>1607.1642693270355</v>
      </c>
      <c r="BC412" s="870">
        <f t="shared" ca="1" si="315"/>
        <v>1064.3857609071911</v>
      </c>
      <c r="BD412" s="869">
        <f t="shared" ca="1" si="315"/>
        <v>5910.7056388972242</v>
      </c>
      <c r="BE412" s="869">
        <f t="shared" ca="1" si="315"/>
        <v>7696.1873227945907</v>
      </c>
      <c r="BF412" s="869">
        <f t="shared" ca="1" si="315"/>
        <v>9744.2946144258585</v>
      </c>
      <c r="BG412" s="869">
        <f t="shared" ca="1" si="315"/>
        <v>12614.37290036915</v>
      </c>
      <c r="BH412" s="824"/>
    </row>
    <row r="413" spans="1:60" customFormat="1" x14ac:dyDescent="0.25">
      <c r="A413" s="336" t="s">
        <v>100</v>
      </c>
      <c r="B413" s="504"/>
      <c r="C413" s="910">
        <f t="shared" ref="C413:AW413" si="316">-SUM(C368:C371)</f>
        <v>0</v>
      </c>
      <c r="D413" s="910">
        <f t="shared" si="316"/>
        <v>0</v>
      </c>
      <c r="E413" s="910">
        <f t="shared" si="316"/>
        <v>0</v>
      </c>
      <c r="F413" s="910">
        <f t="shared" si="316"/>
        <v>0</v>
      </c>
      <c r="G413" s="911">
        <f>-SUM(G368:G371)</f>
        <v>-15.977000000000002</v>
      </c>
      <c r="H413" s="911">
        <f t="shared" si="316"/>
        <v>0</v>
      </c>
      <c r="I413" s="911">
        <f t="shared" si="316"/>
        <v>0</v>
      </c>
      <c r="J413" s="911">
        <f t="shared" si="316"/>
        <v>0</v>
      </c>
      <c r="K413" s="910">
        <f t="shared" si="316"/>
        <v>-15.977000000000002</v>
      </c>
      <c r="L413" s="911">
        <f t="shared" si="316"/>
        <v>0</v>
      </c>
      <c r="M413" s="911">
        <f t="shared" si="316"/>
        <v>0</v>
      </c>
      <c r="N413" s="911">
        <f t="shared" si="316"/>
        <v>0</v>
      </c>
      <c r="O413" s="911">
        <f t="shared" si="316"/>
        <v>38.612000000000002</v>
      </c>
      <c r="P413" s="910">
        <f t="shared" si="316"/>
        <v>38.612000000000002</v>
      </c>
      <c r="Q413" s="911">
        <f t="shared" si="316"/>
        <v>-24.312999999999999</v>
      </c>
      <c r="R413" s="911">
        <f t="shared" si="316"/>
        <v>0</v>
      </c>
      <c r="S413" s="911">
        <f t="shared" si="316"/>
        <v>0</v>
      </c>
      <c r="T413" s="911">
        <f t="shared" si="316"/>
        <v>13.438000000000001</v>
      </c>
      <c r="U413" s="910">
        <f t="shared" si="316"/>
        <v>-10.874999999999996</v>
      </c>
      <c r="V413" s="911">
        <f t="shared" si="316"/>
        <v>0</v>
      </c>
      <c r="W413" s="911">
        <f t="shared" si="316"/>
        <v>0</v>
      </c>
      <c r="X413" s="911">
        <f t="shared" si="316"/>
        <v>0</v>
      </c>
      <c r="Y413" s="911">
        <f t="shared" si="316"/>
        <v>0</v>
      </c>
      <c r="Z413" s="910">
        <f t="shared" si="316"/>
        <v>0</v>
      </c>
      <c r="AA413" s="911">
        <f t="shared" si="316"/>
        <v>0</v>
      </c>
      <c r="AB413" s="911">
        <f t="shared" si="316"/>
        <v>0</v>
      </c>
      <c r="AC413" s="911">
        <f t="shared" si="316"/>
        <v>0</v>
      </c>
      <c r="AD413" s="911">
        <f t="shared" si="316"/>
        <v>0</v>
      </c>
      <c r="AE413" s="910">
        <f t="shared" si="316"/>
        <v>0</v>
      </c>
      <c r="AF413" s="911">
        <f t="shared" si="316"/>
        <v>0</v>
      </c>
      <c r="AG413" s="911">
        <f t="shared" si="316"/>
        <v>0</v>
      </c>
      <c r="AH413" s="911">
        <f t="shared" si="316"/>
        <v>0</v>
      </c>
      <c r="AI413" s="911">
        <f t="shared" si="316"/>
        <v>0</v>
      </c>
      <c r="AJ413" s="910">
        <f t="shared" si="316"/>
        <v>0</v>
      </c>
      <c r="AK413" s="911">
        <f t="shared" si="316"/>
        <v>0</v>
      </c>
      <c r="AL413" s="911">
        <f t="shared" si="316"/>
        <v>0</v>
      </c>
      <c r="AM413" s="911">
        <f t="shared" si="316"/>
        <v>0</v>
      </c>
      <c r="AN413" s="911">
        <f t="shared" si="316"/>
        <v>0</v>
      </c>
      <c r="AO413" s="910">
        <f t="shared" si="316"/>
        <v>0</v>
      </c>
      <c r="AP413" s="911">
        <f t="shared" si="316"/>
        <v>0</v>
      </c>
      <c r="AQ413" s="911">
        <f t="shared" si="316"/>
        <v>0</v>
      </c>
      <c r="AR413" s="911">
        <f t="shared" si="316"/>
        <v>0</v>
      </c>
      <c r="AS413" s="911">
        <f t="shared" si="316"/>
        <v>0</v>
      </c>
      <c r="AT413" s="910">
        <f t="shared" si="316"/>
        <v>0</v>
      </c>
      <c r="AU413" s="911">
        <f t="shared" si="316"/>
        <v>0</v>
      </c>
      <c r="AV413" s="911">
        <f t="shared" si="316"/>
        <v>0</v>
      </c>
      <c r="AW413" s="912">
        <f t="shared" si="316"/>
        <v>0</v>
      </c>
      <c r="AX413" s="898"/>
      <c r="AY413" s="897">
        <f>SUM(AU413,AV413,AW413,AX413)</f>
        <v>0</v>
      </c>
      <c r="AZ413" s="898"/>
      <c r="BA413" s="898"/>
      <c r="BB413" s="898"/>
      <c r="BC413" s="898"/>
      <c r="BD413" s="897">
        <f>SUM(AZ413,BA413,BB413,BC413)</f>
        <v>0</v>
      </c>
      <c r="BE413" s="897"/>
      <c r="BF413" s="897"/>
      <c r="BG413" s="897"/>
      <c r="BH413" s="821"/>
    </row>
    <row r="414" spans="1:60" customFormat="1" x14ac:dyDescent="0.25">
      <c r="A414" s="113" t="s">
        <v>101</v>
      </c>
      <c r="B414" s="441"/>
      <c r="C414" s="881"/>
      <c r="D414" s="881"/>
      <c r="E414" s="881"/>
      <c r="F414" s="881"/>
      <c r="G414" s="882"/>
      <c r="H414" s="882"/>
      <c r="I414" s="882"/>
      <c r="J414" s="882"/>
      <c r="K414" s="881"/>
      <c r="L414" s="882"/>
      <c r="M414" s="882"/>
      <c r="N414" s="882"/>
      <c r="O414" s="882"/>
      <c r="P414" s="881"/>
      <c r="Q414" s="882"/>
      <c r="R414" s="882"/>
      <c r="S414" s="882"/>
      <c r="T414" s="882"/>
      <c r="U414" s="881"/>
      <c r="V414" s="882"/>
      <c r="W414" s="882"/>
      <c r="X414" s="882"/>
      <c r="Y414" s="882"/>
      <c r="Z414" s="881"/>
      <c r="AA414" s="882"/>
      <c r="AB414" s="882"/>
      <c r="AC414" s="882"/>
      <c r="AD414" s="882"/>
      <c r="AE414" s="881"/>
      <c r="AF414" s="882"/>
      <c r="AG414" s="882"/>
      <c r="AH414" s="882"/>
      <c r="AI414" s="882"/>
      <c r="AJ414" s="881"/>
      <c r="AK414" s="882"/>
      <c r="AL414" s="882"/>
      <c r="AM414" s="882"/>
      <c r="AN414" s="882"/>
      <c r="AO414" s="881"/>
      <c r="AP414" s="882"/>
      <c r="AQ414" s="882"/>
      <c r="AR414" s="882"/>
      <c r="AS414" s="882"/>
      <c r="AT414" s="881"/>
      <c r="AU414" s="882"/>
      <c r="AV414" s="882"/>
      <c r="AW414" s="883"/>
      <c r="AX414" s="882"/>
      <c r="AY414" s="881">
        <f>SUM(AU414,AV414,AW414,AX414)</f>
        <v>0</v>
      </c>
      <c r="AZ414" s="882"/>
      <c r="BA414" s="882"/>
      <c r="BB414" s="882"/>
      <c r="BC414" s="882"/>
      <c r="BD414" s="881">
        <f>SUM(AZ414,BA414,BB414,BC414)</f>
        <v>0</v>
      </c>
      <c r="BE414" s="881"/>
      <c r="BF414" s="881"/>
      <c r="BG414" s="881"/>
      <c r="BH414" s="821"/>
    </row>
    <row r="415" spans="1:60" customFormat="1" x14ac:dyDescent="0.25">
      <c r="A415" s="61" t="s">
        <v>102</v>
      </c>
      <c r="B415" s="505"/>
      <c r="C415" s="872">
        <f>C410-SUM(C413:C414)</f>
        <v>115.86000000000001</v>
      </c>
      <c r="D415" s="872">
        <f t="shared" ref="D415:AW415" si="317">D410-SUM(D413:D414)</f>
        <v>160.85299999999995</v>
      </c>
      <c r="E415" s="872">
        <f t="shared" si="317"/>
        <v>226.12600000000012</v>
      </c>
      <c r="F415" s="872">
        <f t="shared" si="317"/>
        <v>17.152000000000189</v>
      </c>
      <c r="G415" s="871">
        <f t="shared" si="317"/>
        <v>18.666000000000029</v>
      </c>
      <c r="H415" s="871">
        <f t="shared" si="317"/>
        <v>29.471000000000071</v>
      </c>
      <c r="I415" s="871">
        <f t="shared" si="317"/>
        <v>31.822000000000063</v>
      </c>
      <c r="J415" s="871">
        <f t="shared" si="317"/>
        <v>48.420999999999104</v>
      </c>
      <c r="K415" s="872">
        <f t="shared" si="317"/>
        <v>128.37999999999997</v>
      </c>
      <c r="L415" s="871">
        <f t="shared" si="317"/>
        <v>53.114999999999917</v>
      </c>
      <c r="M415" s="871">
        <f t="shared" si="317"/>
        <v>71.017999999999972</v>
      </c>
      <c r="N415" s="871">
        <f t="shared" si="317"/>
        <v>59.29500000000003</v>
      </c>
      <c r="O415" s="871">
        <f t="shared" si="317"/>
        <v>44.758999999999709</v>
      </c>
      <c r="P415" s="872">
        <f t="shared" si="317"/>
        <v>228.1869999999997</v>
      </c>
      <c r="Q415" s="871">
        <f t="shared" si="317"/>
        <v>48.008999999999787</v>
      </c>
      <c r="R415" s="871">
        <f t="shared" si="317"/>
        <v>26.33499999999998</v>
      </c>
      <c r="S415" s="871">
        <f t="shared" si="317"/>
        <v>29.43199999999991</v>
      </c>
      <c r="T415" s="871">
        <f t="shared" si="317"/>
        <v>29.740000000000784</v>
      </c>
      <c r="U415" s="872">
        <f t="shared" si="317"/>
        <v>133.5160000000007</v>
      </c>
      <c r="V415" s="871">
        <f t="shared" si="317"/>
        <v>27.658000000000147</v>
      </c>
      <c r="W415" s="871">
        <f t="shared" si="317"/>
        <v>40.755000000000237</v>
      </c>
      <c r="X415" s="871">
        <f t="shared" si="317"/>
        <v>51.517000000000067</v>
      </c>
      <c r="Y415" s="871">
        <f t="shared" si="317"/>
        <v>66.747999999999308</v>
      </c>
      <c r="Z415" s="872">
        <f t="shared" si="317"/>
        <v>186.67799999999968</v>
      </c>
      <c r="AA415" s="871">
        <f t="shared" si="317"/>
        <v>178.22200000000021</v>
      </c>
      <c r="AB415" s="871">
        <f t="shared" si="317"/>
        <v>65.600000000000023</v>
      </c>
      <c r="AC415" s="871">
        <f t="shared" si="317"/>
        <v>129.58999999999983</v>
      </c>
      <c r="AD415" s="871">
        <f t="shared" si="317"/>
        <v>185.51699999999985</v>
      </c>
      <c r="AE415" s="872">
        <f t="shared" si="317"/>
        <v>558.92899999999963</v>
      </c>
      <c r="AF415" s="871">
        <f t="shared" si="317"/>
        <v>290.12400000000008</v>
      </c>
      <c r="AG415" s="871">
        <f t="shared" si="317"/>
        <v>384.34899999999999</v>
      </c>
      <c r="AH415" s="871">
        <f t="shared" si="317"/>
        <v>402.83499999999964</v>
      </c>
      <c r="AI415" s="871">
        <f t="shared" si="317"/>
        <v>133.93400000000008</v>
      </c>
      <c r="AJ415" s="872">
        <f t="shared" si="317"/>
        <v>1211.2419999999997</v>
      </c>
      <c r="AK415" s="871">
        <f t="shared" si="317"/>
        <v>344.05200000000025</v>
      </c>
      <c r="AL415" s="871">
        <f t="shared" si="317"/>
        <v>270.64999999999986</v>
      </c>
      <c r="AM415" s="871">
        <f t="shared" si="317"/>
        <v>665.24399999999991</v>
      </c>
      <c r="AN415" s="871">
        <f t="shared" si="317"/>
        <v>586.97000000000037</v>
      </c>
      <c r="AO415" s="872">
        <f t="shared" si="317"/>
        <v>1866.9160000000006</v>
      </c>
      <c r="AP415" s="871">
        <f t="shared" si="317"/>
        <v>709.06699999999989</v>
      </c>
      <c r="AQ415" s="871">
        <f t="shared" si="317"/>
        <v>720.19600000000037</v>
      </c>
      <c r="AR415" s="871">
        <f t="shared" si="317"/>
        <v>789.97599999999932</v>
      </c>
      <c r="AS415" s="871">
        <f t="shared" si="317"/>
        <v>542.15600000000336</v>
      </c>
      <c r="AT415" s="872">
        <f t="shared" si="317"/>
        <v>2761.3950000000004</v>
      </c>
      <c r="AU415" s="871">
        <f t="shared" si="317"/>
        <v>1706.7150000000001</v>
      </c>
      <c r="AV415" s="871">
        <f t="shared" si="317"/>
        <v>1353.0130000000001</v>
      </c>
      <c r="AW415" s="873">
        <f t="shared" si="317"/>
        <v>1449.0709999999997</v>
      </c>
      <c r="AX415" s="870">
        <f t="shared" ref="AX415:AY415" si="318">AX412-SUM(AX413:AX414)</f>
        <v>350.35107930358816</v>
      </c>
      <c r="AY415" s="869">
        <f t="shared" si="318"/>
        <v>4859.1500793035902</v>
      </c>
      <c r="AZ415" s="870">
        <f t="shared" ref="AZ415:BG415" ca="1" si="319">AZ412-SUM(AZ413:AZ414)</f>
        <v>1637.9864130617766</v>
      </c>
      <c r="BA415" s="870">
        <f t="shared" ca="1" si="319"/>
        <v>1601.1691956012214</v>
      </c>
      <c r="BB415" s="870">
        <f t="shared" ca="1" si="319"/>
        <v>1607.1642693270355</v>
      </c>
      <c r="BC415" s="870">
        <f t="shared" ca="1" si="319"/>
        <v>1064.3857609071911</v>
      </c>
      <c r="BD415" s="869">
        <f t="shared" ca="1" si="319"/>
        <v>5910.7056388972242</v>
      </c>
      <c r="BE415" s="869">
        <f t="shared" ca="1" si="319"/>
        <v>7696.1873227945907</v>
      </c>
      <c r="BF415" s="869">
        <f t="shared" ca="1" si="319"/>
        <v>9744.2946144258585</v>
      </c>
      <c r="BG415" s="869">
        <f t="shared" ca="1" si="319"/>
        <v>12614.37290036915</v>
      </c>
      <c r="BH415" s="824"/>
    </row>
    <row r="416" spans="1:60" customFormat="1" x14ac:dyDescent="0.25">
      <c r="A416" s="512"/>
      <c r="B416" s="513"/>
      <c r="C416" s="913"/>
      <c r="D416" s="913"/>
      <c r="E416" s="913"/>
      <c r="F416" s="913"/>
      <c r="G416" s="914"/>
      <c r="H416" s="914"/>
      <c r="I416" s="914"/>
      <c r="J416" s="914"/>
      <c r="K416" s="913"/>
      <c r="L416" s="914"/>
      <c r="M416" s="914"/>
      <c r="N416" s="914"/>
      <c r="O416" s="914"/>
      <c r="P416" s="913"/>
      <c r="Q416" s="914"/>
      <c r="R416" s="914"/>
      <c r="S416" s="914"/>
      <c r="T416" s="914"/>
      <c r="U416" s="913"/>
      <c r="V416" s="914"/>
      <c r="W416" s="914"/>
      <c r="X416" s="914"/>
      <c r="Y416" s="914"/>
      <c r="Z416" s="913"/>
      <c r="AA416" s="914"/>
      <c r="AB416" s="914"/>
      <c r="AC416" s="914"/>
      <c r="AD416" s="914"/>
      <c r="AE416" s="913"/>
      <c r="AF416" s="914"/>
      <c r="AG416" s="914"/>
      <c r="AH416" s="914"/>
      <c r="AI416" s="914"/>
      <c r="AJ416" s="913"/>
      <c r="AK416" s="914"/>
      <c r="AL416" s="914"/>
      <c r="AM416" s="914"/>
      <c r="AN416" s="914"/>
      <c r="AO416" s="913"/>
      <c r="AP416" s="914"/>
      <c r="AQ416" s="914"/>
      <c r="AR416" s="914"/>
      <c r="AS416" s="914"/>
      <c r="AT416" s="913"/>
      <c r="AU416" s="914"/>
      <c r="AV416" s="914"/>
      <c r="AW416" s="915"/>
      <c r="AX416" s="914"/>
      <c r="AY416" s="913"/>
      <c r="AZ416" s="914"/>
      <c r="BA416" s="914"/>
      <c r="BB416" s="914"/>
      <c r="BC416" s="914"/>
      <c r="BD416" s="913"/>
      <c r="BE416" s="913"/>
      <c r="BF416" s="913"/>
      <c r="BG416" s="913"/>
      <c r="BH416" s="459"/>
    </row>
    <row r="417" spans="1:60" customFormat="1" x14ac:dyDescent="0.25">
      <c r="A417" s="70" t="s">
        <v>103</v>
      </c>
      <c r="B417" s="514"/>
      <c r="C417" s="16">
        <f t="shared" ref="C417:AQ417" si="320">C404/C402</f>
        <v>0.36423992673992667</v>
      </c>
      <c r="D417" s="16">
        <f t="shared" si="320"/>
        <v>0.40271427290658068</v>
      </c>
      <c r="E417" s="16">
        <f t="shared" si="320"/>
        <v>0.42276411457435137</v>
      </c>
      <c r="F417" s="16">
        <f t="shared" si="320"/>
        <v>1.4238517060367366</v>
      </c>
      <c r="G417" s="70">
        <f t="shared" si="320"/>
        <v>5.3645161290320962</v>
      </c>
      <c r="H417" s="70">
        <f t="shared" si="320"/>
        <v>0.41197024587879633</v>
      </c>
      <c r="I417" s="70">
        <f t="shared" si="320"/>
        <v>0.40599300882988776</v>
      </c>
      <c r="J417" s="70">
        <f t="shared" si="320"/>
        <v>0.49206799632452891</v>
      </c>
      <c r="K417" s="16">
        <f t="shared" si="320"/>
        <v>0.47181336731472934</v>
      </c>
      <c r="L417" s="70">
        <f t="shared" si="320"/>
        <v>0.55014391077531988</v>
      </c>
      <c r="M417" s="70">
        <f t="shared" si="320"/>
        <v>0.53609889922639142</v>
      </c>
      <c r="N417" s="70">
        <f t="shared" si="320"/>
        <v>0.47298973722792359</v>
      </c>
      <c r="O417" s="70">
        <f t="shared" si="320"/>
        <v>-0.99648475261447189</v>
      </c>
      <c r="P417" s="16">
        <f t="shared" si="320"/>
        <v>0.32238979417177854</v>
      </c>
      <c r="Q417" s="70">
        <f t="shared" si="320"/>
        <v>1.347316920834859</v>
      </c>
      <c r="R417" s="70">
        <f t="shared" si="320"/>
        <v>0.45411212645097576</v>
      </c>
      <c r="S417" s="70">
        <f t="shared" si="320"/>
        <v>0.99964486954874976</v>
      </c>
      <c r="T417" s="70">
        <f t="shared" si="320"/>
        <v>-1.6633543967970046</v>
      </c>
      <c r="U417" s="16">
        <f t="shared" si="320"/>
        <v>0.54902914332029185</v>
      </c>
      <c r="V417" s="70">
        <f t="shared" si="320"/>
        <v>0.72278642894756373</v>
      </c>
      <c r="W417" s="70">
        <f t="shared" si="320"/>
        <v>0.55342364147407619</v>
      </c>
      <c r="X417" s="70">
        <f t="shared" si="320"/>
        <v>0.16773035752650786</v>
      </c>
      <c r="Y417" s="70">
        <f t="shared" si="320"/>
        <v>0.5564147160154691</v>
      </c>
      <c r="Z417" s="16">
        <f t="shared" si="320"/>
        <v>0.46323515299013135</v>
      </c>
      <c r="AA417" s="70">
        <f t="shared" si="320"/>
        <v>0.32321977550582653</v>
      </c>
      <c r="AB417" s="70">
        <f t="shared" si="320"/>
        <v>-2.2157284056725368</v>
      </c>
      <c r="AC417" s="70">
        <f t="shared" si="320"/>
        <v>0.37627433605478511</v>
      </c>
      <c r="AD417" s="70">
        <f t="shared" si="320"/>
        <v>0.38030153049569826</v>
      </c>
      <c r="AE417" s="16">
        <f t="shared" si="320"/>
        <v>0.27833124880233923</v>
      </c>
      <c r="AF417" s="70">
        <f t="shared" si="320"/>
        <v>0.10527141407668479</v>
      </c>
      <c r="AG417" s="70">
        <f t="shared" si="320"/>
        <v>0.12557508002127679</v>
      </c>
      <c r="AH417" s="70">
        <f t="shared" si="320"/>
        <v>4.0727541511575753E-2</v>
      </c>
      <c r="AI417" s="70">
        <f t="shared" si="320"/>
        <v>-4.9415390800362671E-4</v>
      </c>
      <c r="AJ417" s="16">
        <f t="shared" si="320"/>
        <v>8.2135711129121436E-2</v>
      </c>
      <c r="AK417" s="70">
        <f t="shared" si="320"/>
        <v>0.12255447769223253</v>
      </c>
      <c r="AL417" s="70">
        <f t="shared" si="320"/>
        <v>0.38878175183064634</v>
      </c>
      <c r="AM417" s="70">
        <f t="shared" si="320"/>
        <v>0.2913832837938089</v>
      </c>
      <c r="AN417" s="70">
        <f t="shared" si="320"/>
        <v>-1.6670327389123594</v>
      </c>
      <c r="AO417" s="16">
        <f t="shared" si="320"/>
        <v>0.14050705279864376</v>
      </c>
      <c r="AP417" s="70">
        <f t="shared" si="320"/>
        <v>5.0490658022038781E-2</v>
      </c>
      <c r="AQ417" s="70">
        <f t="shared" si="320"/>
        <v>8.8931848335557437E-2</v>
      </c>
      <c r="AR417" s="70">
        <f>AR404/AR402</f>
        <v>0.12973440438325645</v>
      </c>
      <c r="AS417" s="70">
        <f>AS404/AS402</f>
        <v>0.24455142698605928</v>
      </c>
      <c r="AT417" s="16">
        <f>AT404/AT402</f>
        <v>0.114988392951191</v>
      </c>
      <c r="AU417" s="70">
        <f t="shared" ref="AU417" si="321">AU404/AU402</f>
        <v>8.2602032340100898E-2</v>
      </c>
      <c r="AV417" s="70">
        <f>AV404/AV402</f>
        <v>0.11899253916296321</v>
      </c>
      <c r="AW417" s="585">
        <f t="shared" ref="AW417" si="322">AW404/AW402</f>
        <v>9.688439028296307E-2</v>
      </c>
      <c r="AX417" s="187">
        <v>0.09</v>
      </c>
      <c r="AY417" s="98">
        <f>AY404/AY402</f>
        <v>9.7542655809633033E-2</v>
      </c>
      <c r="AZ417" s="187">
        <v>0.24</v>
      </c>
      <c r="BA417" s="187">
        <v>0.24</v>
      </c>
      <c r="BB417" s="187">
        <v>0.24</v>
      </c>
      <c r="BC417" s="187">
        <v>0.24</v>
      </c>
      <c r="BD417" s="98">
        <f ca="1">BD404/BD402</f>
        <v>0.24000000000000002</v>
      </c>
      <c r="BE417" s="49">
        <v>0.24</v>
      </c>
      <c r="BF417" s="49">
        <v>0.24</v>
      </c>
      <c r="BG417" s="49">
        <v>0.24</v>
      </c>
      <c r="BH417" s="70"/>
    </row>
    <row r="418" spans="1:60" customFormat="1" x14ac:dyDescent="0.25">
      <c r="A418" s="70" t="s">
        <v>104</v>
      </c>
      <c r="B418" s="514"/>
      <c r="C418" s="16">
        <f t="shared" ref="C418:AQ418" si="323">C405/C402</f>
        <v>3.2925407925407928E-2</v>
      </c>
      <c r="D418" s="16">
        <f t="shared" si="323"/>
        <v>-3.593628593628594E-3</v>
      </c>
      <c r="E418" s="16">
        <f t="shared" si="323"/>
        <v>-5.1727015314779058E-2</v>
      </c>
      <c r="F418" s="16">
        <f t="shared" si="323"/>
        <v>-0.98658136482939029</v>
      </c>
      <c r="G418" s="70">
        <f t="shared" si="323"/>
        <v>-7.2559139784944042</v>
      </c>
      <c r="H418" s="70">
        <f t="shared" si="323"/>
        <v>-4.3730840961220964E-2</v>
      </c>
      <c r="I418" s="70">
        <f t="shared" si="323"/>
        <v>-4.8978602170091458E-2</v>
      </c>
      <c r="J418" s="70">
        <f t="shared" si="323"/>
        <v>-0.14637046646127416</v>
      </c>
      <c r="K418" s="16">
        <f t="shared" si="323"/>
        <v>-0.12885651823187627</v>
      </c>
      <c r="L418" s="70">
        <f t="shared" si="323"/>
        <v>-0.14731741320381378</v>
      </c>
      <c r="M418" s="70">
        <f t="shared" si="323"/>
        <v>-0.14116654738779272</v>
      </c>
      <c r="N418" s="70">
        <f t="shared" si="323"/>
        <v>-8.0912884341326846E-2</v>
      </c>
      <c r="O418" s="70">
        <f t="shared" si="323"/>
        <v>0.1647991914931024</v>
      </c>
      <c r="P418" s="16">
        <f t="shared" si="323"/>
        <v>-8.6049420526721099E-2</v>
      </c>
      <c r="Q418" s="70">
        <f t="shared" si="323"/>
        <v>-0.96398272003331609</v>
      </c>
      <c r="R418" s="70">
        <f t="shared" si="323"/>
        <v>-0.10451963447764884</v>
      </c>
      <c r="S418" s="70">
        <f t="shared" si="323"/>
        <v>-0.69645816563284402</v>
      </c>
      <c r="T418" s="70">
        <f t="shared" si="323"/>
        <v>0.58057980801695752</v>
      </c>
      <c r="U418" s="16">
        <f t="shared" si="323"/>
        <v>-0.41339817457800127</v>
      </c>
      <c r="V418" s="70">
        <f t="shared" si="323"/>
        <v>-0.41633441159507362</v>
      </c>
      <c r="W418" s="70">
        <f t="shared" si="323"/>
        <v>-0.34892254840724385</v>
      </c>
      <c r="X418" s="70">
        <f t="shared" si="323"/>
        <v>0.18120237087214211</v>
      </c>
      <c r="Y418" s="70">
        <f t="shared" si="323"/>
        <v>-0.29584907332528565</v>
      </c>
      <c r="Z418" s="16">
        <f t="shared" si="323"/>
        <v>-0.17983010053472676</v>
      </c>
      <c r="AA418" s="70">
        <f t="shared" si="323"/>
        <v>-0.11959319367984544</v>
      </c>
      <c r="AB418" s="70">
        <f t="shared" si="323"/>
        <v>-1.482738862627129</v>
      </c>
      <c r="AC418" s="70">
        <f t="shared" si="323"/>
        <v>-0.49115169868458475</v>
      </c>
      <c r="AD418" s="70">
        <f t="shared" si="323"/>
        <v>-0.79290337318206117</v>
      </c>
      <c r="AE418" s="16">
        <f t="shared" si="323"/>
        <v>-0.42999993818524263</v>
      </c>
      <c r="AF418" s="70">
        <f t="shared" si="323"/>
        <v>-7.3590862971269863E-2</v>
      </c>
      <c r="AG418" s="70">
        <f t="shared" si="323"/>
        <v>-2.2254313683405039E-2</v>
      </c>
      <c r="AH418" s="70">
        <f t="shared" si="323"/>
        <v>-0.10414983764948135</v>
      </c>
      <c r="AI418" s="70">
        <f t="shared" si="323"/>
        <v>-0.12126871922007429</v>
      </c>
      <c r="AJ418" s="16">
        <f t="shared" si="323"/>
        <v>-6.9729252856600074E-2</v>
      </c>
      <c r="AK418" s="70">
        <f t="shared" si="323"/>
        <v>1.6581635844557473E-2</v>
      </c>
      <c r="AL418" s="70">
        <f t="shared" si="323"/>
        <v>7.0908096367454834E-2</v>
      </c>
      <c r="AM418" s="70">
        <f t="shared" si="323"/>
        <v>5.1470726240537862E-2</v>
      </c>
      <c r="AN418" s="70">
        <f t="shared" si="323"/>
        <v>-1.2635787133453393</v>
      </c>
      <c r="AO418" s="16">
        <f t="shared" si="323"/>
        <v>-4.5796518430767437E-2</v>
      </c>
      <c r="AP418" s="70">
        <f t="shared" si="323"/>
        <v>5.8576149371128455E-2</v>
      </c>
      <c r="AQ418" s="70">
        <f t="shared" si="323"/>
        <v>0.21563110152355824</v>
      </c>
      <c r="AR418" s="70">
        <f>AR405/AR402</f>
        <v>-4.6754347270912225E-2</v>
      </c>
      <c r="AS418" s="70">
        <f>AS405/AS402</f>
        <v>-0.31512370240335319</v>
      </c>
      <c r="AT418" s="16">
        <f>AT405/AT402</f>
        <v>2.1900080297585535E-2</v>
      </c>
      <c r="AU418" s="70">
        <f t="shared" ref="AU418" si="324">AU405/AU402</f>
        <v>7.8512087970422237E-2</v>
      </c>
      <c r="AV418" s="70">
        <f>AV405/AV402</f>
        <v>3.2078901284925423E-2</v>
      </c>
      <c r="AW418" s="585">
        <f t="shared" ref="AW418" si="325">AW405/AW402</f>
        <v>3.0685284826416543E-2</v>
      </c>
      <c r="AX418" s="187">
        <v>-7.0000000000000007E-2</v>
      </c>
      <c r="AY418" s="98">
        <f>AY405/AY402</f>
        <v>4.1935959042201029E-2</v>
      </c>
      <c r="AZ418" s="187">
        <v>-0.05</v>
      </c>
      <c r="BA418" s="187">
        <v>-0.05</v>
      </c>
      <c r="BB418" s="187">
        <v>-0.05</v>
      </c>
      <c r="BC418" s="187">
        <v>-0.05</v>
      </c>
      <c r="BD418" s="98">
        <f ca="1">BD405/BD402</f>
        <v>-5.000000000000001E-2</v>
      </c>
      <c r="BE418" s="49">
        <v>-0.05</v>
      </c>
      <c r="BF418" s="49">
        <v>-0.05</v>
      </c>
      <c r="BG418" s="49">
        <v>-0.05</v>
      </c>
      <c r="BH418" s="70"/>
    </row>
    <row r="419" spans="1:60" customFormat="1" x14ac:dyDescent="0.25">
      <c r="A419" s="822"/>
      <c r="B419" s="289"/>
      <c r="C419" s="864"/>
      <c r="D419" s="864"/>
      <c r="E419" s="864"/>
      <c r="F419" s="864"/>
      <c r="G419" s="867"/>
      <c r="H419" s="867"/>
      <c r="I419" s="867"/>
      <c r="J419" s="867"/>
      <c r="K419" s="864"/>
      <c r="L419" s="867"/>
      <c r="M419" s="867"/>
      <c r="N419" s="867"/>
      <c r="O419" s="867"/>
      <c r="P419" s="864"/>
      <c r="Q419" s="867"/>
      <c r="R419" s="867"/>
      <c r="S419" s="867"/>
      <c r="T419" s="867"/>
      <c r="U419" s="864"/>
      <c r="V419" s="867"/>
      <c r="W419" s="867"/>
      <c r="X419" s="867"/>
      <c r="Y419" s="867"/>
      <c r="Z419" s="864"/>
      <c r="AA419" s="867"/>
      <c r="AB419" s="867"/>
      <c r="AC419" s="867"/>
      <c r="AD419" s="867"/>
      <c r="AE419" s="864"/>
      <c r="AF419" s="867"/>
      <c r="AG419" s="867"/>
      <c r="AH419" s="867"/>
      <c r="AI419" s="867"/>
      <c r="AJ419" s="864"/>
      <c r="AK419" s="867"/>
      <c r="AL419" s="867"/>
      <c r="AM419" s="867"/>
      <c r="AN419" s="867"/>
      <c r="AO419" s="864"/>
      <c r="AP419" s="867"/>
      <c r="AQ419" s="867"/>
      <c r="AR419" s="867"/>
      <c r="AS419" s="867"/>
      <c r="AT419" s="864"/>
      <c r="AU419" s="867"/>
      <c r="AV419" s="867"/>
      <c r="AW419" s="868"/>
      <c r="AX419" s="867"/>
      <c r="AY419" s="864"/>
      <c r="AZ419" s="867"/>
      <c r="BA419" s="867"/>
      <c r="BB419" s="867"/>
      <c r="BC419" s="867"/>
      <c r="BD419" s="864"/>
      <c r="BE419" s="864"/>
      <c r="BF419" s="864"/>
      <c r="BG419" s="864"/>
      <c r="BH419" s="821"/>
    </row>
    <row r="420" spans="1:60" customFormat="1" x14ac:dyDescent="0.25">
      <c r="A420" s="71" t="s">
        <v>105</v>
      </c>
      <c r="B420" s="515"/>
      <c r="C420" s="18">
        <f t="shared" ref="C420:AQ420" si="326">C$410/C425</f>
        <v>0.29263487573247121</v>
      </c>
      <c r="D420" s="18">
        <f t="shared" si="326"/>
        <v>0.43745359706067116</v>
      </c>
      <c r="E420" s="18">
        <f t="shared" si="326"/>
        <v>0.61126864884883347</v>
      </c>
      <c r="F420" s="18">
        <f t="shared" si="326"/>
        <v>4.4132593330194723E-2</v>
      </c>
      <c r="G420" s="83">
        <f t="shared" si="326"/>
        <v>6.863125440271226E-3</v>
      </c>
      <c r="H420" s="83">
        <f t="shared" si="326"/>
        <v>7.234916925252384E-2</v>
      </c>
      <c r="I420" s="83">
        <f t="shared" si="326"/>
        <v>7.6910062935643383E-2</v>
      </c>
      <c r="J420" s="83">
        <f t="shared" si="326"/>
        <v>0.11631554925652575</v>
      </c>
      <c r="K420" s="18">
        <f t="shared" si="326"/>
        <v>0.27591344796691086</v>
      </c>
      <c r="L420" s="83">
        <f t="shared" si="326"/>
        <v>0.12685118181883295</v>
      </c>
      <c r="M420" s="83">
        <f t="shared" si="326"/>
        <v>0.16910094434417364</v>
      </c>
      <c r="N420" s="83">
        <f t="shared" si="326"/>
        <v>0.14077835866607794</v>
      </c>
      <c r="O420" s="83">
        <f t="shared" si="326"/>
        <v>0.19744744744744674</v>
      </c>
      <c r="P420" s="18">
        <f t="shared" si="326"/>
        <v>0.63441399710850632</v>
      </c>
      <c r="Q420" s="83">
        <f t="shared" si="326"/>
        <v>5.5936132343151236E-2</v>
      </c>
      <c r="R420" s="83">
        <f t="shared" si="326"/>
        <v>6.1915173743358212E-2</v>
      </c>
      <c r="S420" s="83">
        <f t="shared" si="326"/>
        <v>6.8948553303238014E-2</v>
      </c>
      <c r="T420" s="83">
        <f t="shared" si="326"/>
        <v>0.10096149349495587</v>
      </c>
      <c r="U420" s="18">
        <f t="shared" si="326"/>
        <v>0.28796470441828903</v>
      </c>
      <c r="V420" s="83">
        <f t="shared" si="326"/>
        <v>6.4603834932974266E-2</v>
      </c>
      <c r="W420" s="83">
        <f t="shared" si="326"/>
        <v>9.5114625317691104E-2</v>
      </c>
      <c r="X420" s="83">
        <f t="shared" si="326"/>
        <v>0.12010388471966761</v>
      </c>
      <c r="Y420" s="83">
        <f t="shared" si="326"/>
        <v>0.1553225453648486</v>
      </c>
      <c r="Z420" s="18">
        <f t="shared" si="326"/>
        <v>0.43532747853421627</v>
      </c>
      <c r="AA420" s="83">
        <f t="shared" si="326"/>
        <v>0.41389224338132885</v>
      </c>
      <c r="AB420" s="83">
        <f t="shared" si="326"/>
        <v>0.15206446049569311</v>
      </c>
      <c r="AC420" s="83">
        <f t="shared" si="326"/>
        <v>0.29969658005013794</v>
      </c>
      <c r="AD420" s="83">
        <f t="shared" si="326"/>
        <v>0.4283388900689894</v>
      </c>
      <c r="AE420" s="18">
        <f t="shared" si="326"/>
        <v>1.2941616402514551</v>
      </c>
      <c r="AF420" s="83">
        <f t="shared" si="326"/>
        <v>0.66822057516111077</v>
      </c>
      <c r="AG420" s="83">
        <f t="shared" si="326"/>
        <v>0.883363939535322</v>
      </c>
      <c r="AH420" s="83">
        <f t="shared" si="326"/>
        <v>0.92433841430534847</v>
      </c>
      <c r="AI420" s="83">
        <f t="shared" si="326"/>
        <v>0.30691705718574214</v>
      </c>
      <c r="AJ420" s="18">
        <f t="shared" si="326"/>
        <v>2.7820724250873954</v>
      </c>
      <c r="AK420" s="83">
        <f t="shared" si="326"/>
        <v>0.78739984483244019</v>
      </c>
      <c r="AL420" s="83">
        <f t="shared" si="326"/>
        <v>0.61850557717665255</v>
      </c>
      <c r="AM420" s="83">
        <f t="shared" si="326"/>
        <v>1.518509895227008</v>
      </c>
      <c r="AN420" s="83">
        <f t="shared" si="326"/>
        <v>1.338442629866355</v>
      </c>
      <c r="AO420" s="18">
        <f t="shared" si="326"/>
        <v>4.2643222117912574</v>
      </c>
      <c r="AP420" s="83">
        <f t="shared" si="326"/>
        <v>1.6138927329339572</v>
      </c>
      <c r="AQ420" s="83">
        <f t="shared" si="326"/>
        <v>1.6346951328849746</v>
      </c>
      <c r="AR420" s="83">
        <f>AR$410/AR425</f>
        <v>1.7891947473081977</v>
      </c>
      <c r="AS420" s="83">
        <f>AS$410/AS425</f>
        <v>1.225987065261642</v>
      </c>
      <c r="AT420" s="18">
        <f>AT$410/AT425</f>
        <v>6.2627743682556103</v>
      </c>
      <c r="AU420" s="83">
        <f t="shared" ref="AU420" si="327">AU$410/AU425</f>
        <v>3.8506827247621973</v>
      </c>
      <c r="AV420" s="83">
        <f>AV$410/AV425</f>
        <v>3.053109606258702</v>
      </c>
      <c r="AW420" s="641">
        <f t="shared" ref="AW420" si="328">AW$410/AW425</f>
        <v>3.2726806661577577</v>
      </c>
      <c r="AX420" s="188">
        <f ca="1">AX410/AX425</f>
        <v>0.79125674560070314</v>
      </c>
      <c r="AY420" s="99">
        <f ca="1">AY410/AY425</f>
        <v>10.969113675591744</v>
      </c>
      <c r="AZ420" s="188">
        <f t="shared" ref="AZ420:BG420" ca="1" si="329">AZ410/AZ425</f>
        <v>3.6993401051131189</v>
      </c>
      <c r="BA420" s="188">
        <f t="shared" ca="1" si="329"/>
        <v>3.6161895929816326</v>
      </c>
      <c r="BB420" s="188">
        <f t="shared" ca="1" si="329"/>
        <v>3.6297292759058388</v>
      </c>
      <c r="BC420" s="188">
        <f t="shared" ca="1" si="329"/>
        <v>2.4038813150318918</v>
      </c>
      <c r="BD420" s="99">
        <f t="shared" ca="1" si="329"/>
        <v>13.349140289032482</v>
      </c>
      <c r="BE420" s="99">
        <f t="shared" ca="1" si="329"/>
        <v>17.381593762098817</v>
      </c>
      <c r="BF420" s="99">
        <f t="shared" ca="1" si="329"/>
        <v>22.007178799366404</v>
      </c>
      <c r="BG420" s="99">
        <f t="shared" ca="1" si="329"/>
        <v>28.489159127980951</v>
      </c>
      <c r="BH420" s="83"/>
    </row>
    <row r="421" spans="1:60" customFormat="1" x14ac:dyDescent="0.25">
      <c r="A421" s="71" t="s">
        <v>106</v>
      </c>
      <c r="B421" s="515"/>
      <c r="C421" s="18">
        <f t="shared" ref="C421:AH421" si="330">C412/C426</f>
        <v>0.28333724615565214</v>
      </c>
      <c r="D421" s="18">
        <f t="shared" si="330"/>
        <v>0.42315483205657028</v>
      </c>
      <c r="E421" s="18">
        <f t="shared" si="330"/>
        <v>0.594201527656254</v>
      </c>
      <c r="F421" s="18">
        <f t="shared" si="330"/>
        <v>4.2070875613589638E-2</v>
      </c>
      <c r="G421" s="83">
        <f t="shared" si="330"/>
        <v>6.5032231094812806E-3</v>
      </c>
      <c r="H421" s="83">
        <f t="shared" si="330"/>
        <v>6.9485770872138433E-2</v>
      </c>
      <c r="I421" s="83">
        <f t="shared" si="330"/>
        <v>7.4536809313002272E-2</v>
      </c>
      <c r="J421" s="83">
        <f t="shared" si="330"/>
        <v>0.11283579724464288</v>
      </c>
      <c r="K421" s="18">
        <f t="shared" si="330"/>
        <v>0.26438951677180145</v>
      </c>
      <c r="L421" s="83">
        <f t="shared" si="330"/>
        <v>0.12328356961813756</v>
      </c>
      <c r="M421" s="83">
        <f t="shared" si="330"/>
        <v>0.16460651630234488</v>
      </c>
      <c r="N421" s="83">
        <f t="shared" si="330"/>
        <v>0.1370215971641302</v>
      </c>
      <c r="O421" s="83">
        <f t="shared" si="330"/>
        <v>0.19275907831885145</v>
      </c>
      <c r="P421" s="18">
        <f t="shared" si="330"/>
        <v>0.61774185332512077</v>
      </c>
      <c r="Q421" s="83">
        <f t="shared" si="330"/>
        <v>5.4622865718019567E-2</v>
      </c>
      <c r="R421" s="83">
        <f t="shared" si="330"/>
        <v>6.038794121491315E-2</v>
      </c>
      <c r="S421" s="83">
        <f t="shared" si="330"/>
        <v>6.7256847483809432E-2</v>
      </c>
      <c r="T421" s="83">
        <f t="shared" si="330"/>
        <v>9.8522100046321642E-2</v>
      </c>
      <c r="U421" s="18">
        <f t="shared" si="330"/>
        <v>0.28099281485419081</v>
      </c>
      <c r="V421" s="83">
        <f t="shared" si="330"/>
        <v>6.3147127922136073E-2</v>
      </c>
      <c r="W421" s="83">
        <f t="shared" si="330"/>
        <v>9.3015241216559102E-2</v>
      </c>
      <c r="X421" s="83">
        <f t="shared" si="330"/>
        <v>0.11751435369044402</v>
      </c>
      <c r="Y421" s="83">
        <f t="shared" si="330"/>
        <v>0.15167828242774173</v>
      </c>
      <c r="Z421" s="18">
        <f t="shared" si="330"/>
        <v>0.42557197961025983</v>
      </c>
      <c r="AA421" s="83">
        <f t="shared" si="330"/>
        <v>0.40008710136533682</v>
      </c>
      <c r="AB421" s="83">
        <f t="shared" si="330"/>
        <v>0.14699884821024425</v>
      </c>
      <c r="AC421" s="83">
        <f t="shared" si="330"/>
        <v>0.28967592240735651</v>
      </c>
      <c r="AD421" s="83">
        <f t="shared" si="330"/>
        <v>0.41396923296633625</v>
      </c>
      <c r="AE421" s="18">
        <f t="shared" si="330"/>
        <v>1.250920964875764</v>
      </c>
      <c r="AF421" s="83">
        <f t="shared" si="330"/>
        <v>0.64420606671566483</v>
      </c>
      <c r="AG421" s="83">
        <f t="shared" si="330"/>
        <v>0.85117328679753379</v>
      </c>
      <c r="AH421" s="83">
        <f t="shared" si="330"/>
        <v>0.89138761592232163</v>
      </c>
      <c r="AI421" s="83">
        <f t="shared" ref="AI421:AY421" si="331">AI412/AI426</f>
        <v>0.29689481197740736</v>
      </c>
      <c r="AJ421" s="18">
        <f t="shared" si="331"/>
        <v>2.6842284883566312</v>
      </c>
      <c r="AK421" s="83">
        <f t="shared" si="331"/>
        <v>0.76130836737313123</v>
      </c>
      <c r="AL421" s="83">
        <f t="shared" si="331"/>
        <v>0.59852497263348747</v>
      </c>
      <c r="AM421" s="83">
        <f t="shared" si="331"/>
        <v>1.4732389625115156</v>
      </c>
      <c r="AN421" s="83">
        <f t="shared" si="331"/>
        <v>1.3004273684163892</v>
      </c>
      <c r="AO421" s="18">
        <f t="shared" si="331"/>
        <v>4.1324936637411058</v>
      </c>
      <c r="AP421" s="83">
        <f t="shared" si="331"/>
        <v>1.5670196731890365</v>
      </c>
      <c r="AQ421" s="83">
        <f t="shared" si="331"/>
        <v>1.5865270021698672</v>
      </c>
      <c r="AR421" s="83">
        <f>AR412/AR426</f>
        <v>1.7358752592905093</v>
      </c>
      <c r="AS421" s="83">
        <f>AS412/AS426</f>
        <v>1.1908109900874915</v>
      </c>
      <c r="AT421" s="18">
        <f>AT412/AT426</f>
        <v>6.0795824820346631</v>
      </c>
      <c r="AU421" s="83">
        <f t="shared" ref="AU421" si="332">AU412/AU426</f>
        <v>3.7457450053880139</v>
      </c>
      <c r="AV421" s="83">
        <f>AV412/AV426</f>
        <v>2.9728121038211146</v>
      </c>
      <c r="AW421" s="641">
        <f t="shared" ref="AW421" si="333">AW412/AW426</f>
        <v>3.1852964774413359</v>
      </c>
      <c r="AX421" s="188">
        <f t="shared" ca="1" si="331"/>
        <v>0.77012931648862593</v>
      </c>
      <c r="AY421" s="99">
        <f t="shared" ca="1" si="331"/>
        <v>10.675813908017249</v>
      </c>
      <c r="AZ421" s="188">
        <f t="shared" ref="AZ421:BG421" ca="1" si="334">AZ412/AZ426</f>
        <v>3.6005636380980963</v>
      </c>
      <c r="BA421" s="188">
        <f t="shared" ca="1" si="334"/>
        <v>3.5196333364867205</v>
      </c>
      <c r="BB421" s="188">
        <f t="shared" ca="1" si="334"/>
        <v>3.5328114949212188</v>
      </c>
      <c r="BC421" s="188">
        <f t="shared" ca="1" si="334"/>
        <v>2.3396950286469003</v>
      </c>
      <c r="BD421" s="99">
        <f t="shared" ca="1" si="334"/>
        <v>12.992703498152935</v>
      </c>
      <c r="BE421" s="99">
        <f t="shared" ca="1" si="334"/>
        <v>16.917486009330307</v>
      </c>
      <c r="BF421" s="99">
        <f t="shared" ca="1" si="334"/>
        <v>21.419562816784872</v>
      </c>
      <c r="BG421" s="99">
        <f t="shared" ca="1" si="334"/>
        <v>27.728467110774631</v>
      </c>
      <c r="BH421" s="83"/>
    </row>
    <row r="422" spans="1:60" customFormat="1" x14ac:dyDescent="0.25">
      <c r="A422" s="71" t="s">
        <v>107</v>
      </c>
      <c r="B422" s="515"/>
      <c r="C422" s="18">
        <f t="shared" ref="C422:AH422" si="335">C415/C427</f>
        <v>0.28333724615565214</v>
      </c>
      <c r="D422" s="18">
        <f t="shared" si="335"/>
        <v>0.42315483205657028</v>
      </c>
      <c r="E422" s="18">
        <f t="shared" si="335"/>
        <v>0.59415685934474249</v>
      </c>
      <c r="F422" s="18">
        <f t="shared" si="335"/>
        <v>4.1597951145690294E-2</v>
      </c>
      <c r="G422" s="83">
        <f t="shared" si="335"/>
        <v>4.4334975369458199E-2</v>
      </c>
      <c r="H422" s="83">
        <f t="shared" si="335"/>
        <v>6.9485770872138433E-2</v>
      </c>
      <c r="I422" s="83">
        <f t="shared" si="335"/>
        <v>7.4536809313002272E-2</v>
      </c>
      <c r="J422" s="83">
        <f t="shared" si="335"/>
        <v>0.11283579724464288</v>
      </c>
      <c r="K422" s="18">
        <f t="shared" si="335"/>
        <v>0.30183835025756645</v>
      </c>
      <c r="L422" s="83">
        <f t="shared" si="335"/>
        <v>0.12328356961813756</v>
      </c>
      <c r="M422" s="83">
        <f t="shared" si="335"/>
        <v>0.16460651630234488</v>
      </c>
      <c r="N422" s="83">
        <f t="shared" si="335"/>
        <v>0.1370215971641302</v>
      </c>
      <c r="O422" s="83">
        <f t="shared" si="335"/>
        <v>0.10348566751596412</v>
      </c>
      <c r="P422" s="18">
        <f t="shared" si="335"/>
        <v>0.52834028720009929</v>
      </c>
      <c r="Q422" s="83">
        <f t="shared" si="335"/>
        <v>0.11066800980150293</v>
      </c>
      <c r="R422" s="83">
        <f t="shared" si="335"/>
        <v>6.038794121491315E-2</v>
      </c>
      <c r="S422" s="83">
        <f t="shared" si="335"/>
        <v>6.7256847483809432E-2</v>
      </c>
      <c r="T422" s="83">
        <f t="shared" si="335"/>
        <v>6.7859726142425067E-2</v>
      </c>
      <c r="U422" s="18">
        <f t="shared" si="335"/>
        <v>0.30590941584031539</v>
      </c>
      <c r="V422" s="83">
        <f t="shared" si="335"/>
        <v>6.3147127922136073E-2</v>
      </c>
      <c r="W422" s="83">
        <f t="shared" si="335"/>
        <v>9.3015241216559102E-2</v>
      </c>
      <c r="X422" s="83">
        <f t="shared" si="335"/>
        <v>0.11751435369044402</v>
      </c>
      <c r="Y422" s="83">
        <f t="shared" si="335"/>
        <v>0.15167828242774173</v>
      </c>
      <c r="Z422" s="18">
        <f t="shared" si="335"/>
        <v>0.42557197961025983</v>
      </c>
      <c r="AA422" s="83">
        <f t="shared" si="335"/>
        <v>0.40008710136533682</v>
      </c>
      <c r="AB422" s="83">
        <f t="shared" si="335"/>
        <v>0.14699884821024425</v>
      </c>
      <c r="AC422" s="83">
        <f t="shared" si="335"/>
        <v>0.28967592240735651</v>
      </c>
      <c r="AD422" s="83">
        <f t="shared" si="335"/>
        <v>0.41396923296633625</v>
      </c>
      <c r="AE422" s="18">
        <f t="shared" si="335"/>
        <v>1.250920964875764</v>
      </c>
      <c r="AF422" s="83">
        <f t="shared" si="335"/>
        <v>0.64420606671566483</v>
      </c>
      <c r="AG422" s="83">
        <f t="shared" si="335"/>
        <v>0.85117328679753379</v>
      </c>
      <c r="AH422" s="83">
        <f t="shared" si="335"/>
        <v>0.89138761592232163</v>
      </c>
      <c r="AI422" s="83">
        <f t="shared" ref="AI422:AX422" si="336">AI415/AI427</f>
        <v>0.29689481197740736</v>
      </c>
      <c r="AJ422" s="18">
        <f t="shared" si="336"/>
        <v>2.6842284883566312</v>
      </c>
      <c r="AK422" s="83">
        <f t="shared" si="336"/>
        <v>0.76130836737313123</v>
      </c>
      <c r="AL422" s="83">
        <f t="shared" si="336"/>
        <v>0.59852497263348747</v>
      </c>
      <c r="AM422" s="83">
        <f t="shared" si="336"/>
        <v>1.4732389625115156</v>
      </c>
      <c r="AN422" s="83">
        <f t="shared" si="336"/>
        <v>1.3004273684163892</v>
      </c>
      <c r="AO422" s="18">
        <f t="shared" si="336"/>
        <v>4.1324936637411058</v>
      </c>
      <c r="AP422" s="83">
        <f t="shared" si="336"/>
        <v>1.5670196731890365</v>
      </c>
      <c r="AQ422" s="83">
        <f t="shared" si="336"/>
        <v>1.5865270021698672</v>
      </c>
      <c r="AR422" s="83">
        <f>AR415/AR427</f>
        <v>1.7358752592905093</v>
      </c>
      <c r="AS422" s="83">
        <f>AS415/AS427</f>
        <v>1.1908109900874915</v>
      </c>
      <c r="AT422" s="18">
        <f>AT415/AT427</f>
        <v>6.0795824820346631</v>
      </c>
      <c r="AU422" s="83">
        <f t="shared" ref="AU422" si="337">AU415/AU427</f>
        <v>3.7457450053880139</v>
      </c>
      <c r="AV422" s="83">
        <f>AV415/AV427</f>
        <v>2.9728121038211146</v>
      </c>
      <c r="AW422" s="641">
        <f t="shared" ref="AW422" si="338">AW415/AW427</f>
        <v>3.1852964774413359</v>
      </c>
      <c r="AX422" s="188">
        <f t="shared" ca="1" si="336"/>
        <v>0.77012931648862593</v>
      </c>
      <c r="AY422" s="99">
        <f t="shared" ref="AY422:BG422" ca="1" si="339">AY415/AY427</f>
        <v>10.675813908017249</v>
      </c>
      <c r="AZ422" s="188">
        <f t="shared" ca="1" si="339"/>
        <v>3.6005636380980963</v>
      </c>
      <c r="BA422" s="188">
        <f t="shared" ca="1" si="339"/>
        <v>3.5196333364867205</v>
      </c>
      <c r="BB422" s="188">
        <f t="shared" ca="1" si="339"/>
        <v>3.5328114949212188</v>
      </c>
      <c r="BC422" s="188">
        <f t="shared" ca="1" si="339"/>
        <v>2.3396950286469003</v>
      </c>
      <c r="BD422" s="99">
        <f t="shared" ca="1" si="339"/>
        <v>12.992703498152935</v>
      </c>
      <c r="BE422" s="99">
        <f t="shared" ca="1" si="339"/>
        <v>16.917486009330307</v>
      </c>
      <c r="BF422" s="99">
        <f t="shared" ca="1" si="339"/>
        <v>21.419562816784872</v>
      </c>
      <c r="BG422" s="99">
        <f t="shared" ca="1" si="339"/>
        <v>27.728467110774631</v>
      </c>
      <c r="BH422" s="83"/>
    </row>
    <row r="423" spans="1:60" customFormat="1" x14ac:dyDescent="0.25">
      <c r="A423" s="146" t="str">
        <f>CONCATENATE("Consensus Estimates - ",IFERROR(LEFT(A422,FIND("(",A422)-1),A422))</f>
        <v>Consensus Estimates - Adjusted Earnings Per Share - WAD</v>
      </c>
      <c r="B423" s="184"/>
      <c r="C423" s="147"/>
      <c r="D423" s="147"/>
      <c r="E423" s="147"/>
      <c r="F423" s="147"/>
      <c r="G423" s="148"/>
      <c r="H423" s="148"/>
      <c r="I423" s="148"/>
      <c r="J423" s="148"/>
      <c r="K423" s="147"/>
      <c r="L423" s="148"/>
      <c r="M423" s="148"/>
      <c r="N423" s="148"/>
      <c r="O423" s="148"/>
      <c r="P423" s="147"/>
      <c r="Q423" s="148"/>
      <c r="R423" s="148"/>
      <c r="S423" s="148"/>
      <c r="T423" s="148"/>
      <c r="U423" s="147"/>
      <c r="V423" s="148"/>
      <c r="W423" s="149"/>
      <c r="X423" s="148"/>
      <c r="Y423" s="149"/>
      <c r="Z423" s="100"/>
      <c r="AA423" s="148"/>
      <c r="AB423" s="149"/>
      <c r="AC423" s="148"/>
      <c r="AD423" s="149"/>
      <c r="AE423" s="100"/>
      <c r="AF423" s="148"/>
      <c r="AG423" s="149"/>
      <c r="AH423" s="148"/>
      <c r="AI423" s="149"/>
      <c r="AJ423" s="100"/>
      <c r="AK423" s="148"/>
      <c r="AL423" s="149"/>
      <c r="AM423" s="148"/>
      <c r="AN423" s="149"/>
      <c r="AO423" s="100"/>
      <c r="AP423" s="148"/>
      <c r="AQ423" s="149"/>
      <c r="AR423" s="148"/>
      <c r="AS423" s="149"/>
      <c r="AT423" s="100"/>
      <c r="AU423" s="148"/>
      <c r="AV423" s="149"/>
      <c r="AW423" s="638"/>
      <c r="AX423" s="148" t="str">
        <f t="shared" ref="AX423:BD423" ca="1" si="340">IFERROR(VLOOKUP($A423,tb_ConsensusEstimate,MATCH(AX$5,OFFSET(tb_ConsensusEstimate,0,0,1,COLUMNS(tb_ConsensusEstimate)),0),FALSE),"-")</f>
        <v>N/A</v>
      </c>
      <c r="AY423" s="100" t="str">
        <f t="shared" ca="1" si="340"/>
        <v>N/A</v>
      </c>
      <c r="AZ423" s="148" t="str">
        <f t="shared" ca="1" si="340"/>
        <v>N/A</v>
      </c>
      <c r="BA423" s="148" t="str">
        <f t="shared" ca="1" si="340"/>
        <v>N/A</v>
      </c>
      <c r="BB423" s="148" t="str">
        <f t="shared" ca="1" si="340"/>
        <v>N/A</v>
      </c>
      <c r="BC423" s="148" t="str">
        <f t="shared" ca="1" si="340"/>
        <v>N/A</v>
      </c>
      <c r="BD423" s="100" t="str">
        <f t="shared" ca="1" si="340"/>
        <v>N/A</v>
      </c>
      <c r="BE423" s="100" t="str">
        <f ca="1">IFERROR(VLOOKUP(A423,tb_ConsensusEstimate,MATCH(BE5,OFFSET(tb_ConsensusEstimate,0,0,1,COLUMNS(tb_ConsensusEstimate)),0),FALSE),"-")</f>
        <v>N/A</v>
      </c>
      <c r="BF423" s="100" t="str">
        <f ca="1">IFERROR(VLOOKUP(A423,tb_ConsensusEstimate,MATCH(BF5,OFFSET(tb_ConsensusEstimate,0,0,1,COLUMNS(tb_ConsensusEstimate)),0),FALSE),"-")</f>
        <v>N/A</v>
      </c>
      <c r="BG423" s="100" t="str">
        <f ca="1">IFERROR(VLOOKUP(A423,tb_ConsensusEstimate,MATCH(BG5,OFFSET(tb_ConsensusEstimate,0,0,1,COLUMNS(tb_ConsensusEstimate)),0),FALSE),"-")</f>
        <v>N/A</v>
      </c>
      <c r="BH423" s="148"/>
    </row>
    <row r="424" spans="1:60" customFormat="1" x14ac:dyDescent="0.25">
      <c r="A424" s="822"/>
      <c r="B424" s="289"/>
      <c r="C424" s="864"/>
      <c r="D424" s="864"/>
      <c r="E424" s="864"/>
      <c r="F424" s="864"/>
      <c r="G424" s="867"/>
      <c r="H424" s="867"/>
      <c r="I424" s="867"/>
      <c r="J424" s="867"/>
      <c r="K424" s="864"/>
      <c r="L424" s="867"/>
      <c r="M424" s="867"/>
      <c r="N424" s="867"/>
      <c r="O424" s="867"/>
      <c r="P424" s="864"/>
      <c r="Q424" s="867"/>
      <c r="R424" s="867"/>
      <c r="S424" s="867"/>
      <c r="T424" s="867"/>
      <c r="U424" s="864"/>
      <c r="V424" s="867"/>
      <c r="W424" s="867"/>
      <c r="X424" s="867"/>
      <c r="Y424" s="867"/>
      <c r="Z424" s="864"/>
      <c r="AA424" s="867"/>
      <c r="AB424" s="867"/>
      <c r="AC424" s="867"/>
      <c r="AD424" s="867"/>
      <c r="AE424" s="864"/>
      <c r="AF424" s="867"/>
      <c r="AG424" s="867"/>
      <c r="AH424" s="867"/>
      <c r="AI424" s="867"/>
      <c r="AJ424" s="864"/>
      <c r="AK424" s="867"/>
      <c r="AL424" s="867"/>
      <c r="AM424" s="867"/>
      <c r="AN424" s="867"/>
      <c r="AO424" s="864"/>
      <c r="AP424" s="867"/>
      <c r="AQ424" s="867"/>
      <c r="AR424" s="867"/>
      <c r="AS424" s="867"/>
      <c r="AT424" s="864"/>
      <c r="AU424" s="867"/>
      <c r="AV424" s="867"/>
      <c r="AW424" s="868"/>
      <c r="AX424" s="867"/>
      <c r="AY424" s="864"/>
      <c r="AZ424" s="867"/>
      <c r="BA424" s="867"/>
      <c r="BB424" s="867"/>
      <c r="BC424" s="867"/>
      <c r="BD424" s="864"/>
      <c r="BE424" s="864"/>
      <c r="BF424" s="864"/>
      <c r="BG424" s="864"/>
      <c r="BH424" s="821"/>
    </row>
    <row r="425" spans="1:60" customFormat="1" x14ac:dyDescent="0.25">
      <c r="A425" s="821" t="s">
        <v>108</v>
      </c>
      <c r="B425" s="289"/>
      <c r="C425" s="865">
        <v>395.92</v>
      </c>
      <c r="D425" s="865">
        <v>367.70299999999997</v>
      </c>
      <c r="E425" s="865">
        <v>369.92900000000003</v>
      </c>
      <c r="F425" s="865">
        <v>388.64699999999999</v>
      </c>
      <c r="G425" s="866">
        <v>391.80400000000003</v>
      </c>
      <c r="H425" s="866">
        <v>407.34399999999999</v>
      </c>
      <c r="I425" s="866">
        <v>413.75599999999997</v>
      </c>
      <c r="J425" s="866">
        <v>416.29</v>
      </c>
      <c r="K425" s="865">
        <v>407.38499999999999</v>
      </c>
      <c r="L425" s="866">
        <v>418.71899999999999</v>
      </c>
      <c r="M425" s="866">
        <v>419.97399999999999</v>
      </c>
      <c r="N425" s="866">
        <v>421.19400000000002</v>
      </c>
      <c r="O425" s="866">
        <v>422.24400000000003</v>
      </c>
      <c r="P425" s="865">
        <v>420.54399999999998</v>
      </c>
      <c r="Q425" s="866">
        <v>423.62599999999998</v>
      </c>
      <c r="R425" s="866">
        <v>425.34</v>
      </c>
      <c r="S425" s="866">
        <v>426.86900000000003</v>
      </c>
      <c r="T425" s="866">
        <v>427.66800000000001</v>
      </c>
      <c r="U425" s="865">
        <v>425.88900000000001</v>
      </c>
      <c r="V425" s="866">
        <v>428.11700000000002</v>
      </c>
      <c r="W425" s="866">
        <v>428.483</v>
      </c>
      <c r="X425" s="866">
        <v>428.93700000000001</v>
      </c>
      <c r="Y425" s="866">
        <v>429.738</v>
      </c>
      <c r="Z425" s="865">
        <v>428.822</v>
      </c>
      <c r="AA425" s="866">
        <v>430.6</v>
      </c>
      <c r="AB425" s="866">
        <v>431.39600000000002</v>
      </c>
      <c r="AC425" s="866">
        <v>432.404</v>
      </c>
      <c r="AD425" s="866">
        <v>433.108</v>
      </c>
      <c r="AE425" s="865">
        <v>431.88499999999999</v>
      </c>
      <c r="AF425" s="866">
        <v>434.17399999999998</v>
      </c>
      <c r="AG425" s="866">
        <v>435.09699999999998</v>
      </c>
      <c r="AH425" s="866">
        <v>435.80900000000003</v>
      </c>
      <c r="AI425" s="866">
        <v>436.38499999999999</v>
      </c>
      <c r="AJ425" s="865">
        <v>435.37400000000002</v>
      </c>
      <c r="AK425" s="866">
        <v>436.947</v>
      </c>
      <c r="AL425" s="866">
        <v>437.58699999999999</v>
      </c>
      <c r="AM425" s="866">
        <v>438.09</v>
      </c>
      <c r="AN425" s="866">
        <v>438.54700000000003</v>
      </c>
      <c r="AO425" s="865">
        <v>437.79899999999998</v>
      </c>
      <c r="AP425" s="866">
        <v>439.35199999999998</v>
      </c>
      <c r="AQ425" s="866">
        <v>440.56900000000002</v>
      </c>
      <c r="AR425" s="866">
        <v>441.52600000000001</v>
      </c>
      <c r="AS425" s="866">
        <v>442.22</v>
      </c>
      <c r="AT425" s="865">
        <v>440.92200000000003</v>
      </c>
      <c r="AU425" s="866">
        <v>443.22399999999999</v>
      </c>
      <c r="AV425" s="866">
        <v>443.15899999999999</v>
      </c>
      <c r="AW425" s="878">
        <v>442.77800000000002</v>
      </c>
      <c r="AX425" s="867">
        <f ca="1">AW425+AX441/(AX442/AX485)</f>
        <v>442.77800000000002</v>
      </c>
      <c r="AY425" s="864">
        <f ca="1">AVERAGE(AU425,AV425,AW425,AX425)</f>
        <v>442.98475000000002</v>
      </c>
      <c r="AZ425" s="867">
        <f ca="1">AX425+AZ441/(AZ442/AZ485)</f>
        <v>442.77800000000002</v>
      </c>
      <c r="BA425" s="867">
        <f ca="1">AZ425+BA441/(BA442/BA485)</f>
        <v>442.77800000000002</v>
      </c>
      <c r="BB425" s="867">
        <f ca="1">BA425+BB441/(BB442/BB485)</f>
        <v>442.77800000000002</v>
      </c>
      <c r="BC425" s="867">
        <f ca="1">BB425+BC441/(BC442/BC485)</f>
        <v>442.77800000000002</v>
      </c>
      <c r="BD425" s="864">
        <f ca="1">AVERAGE(AZ425,BA425,BB425,BC425)</f>
        <v>442.77800000000002</v>
      </c>
      <c r="BE425" s="864">
        <f ca="1">BC425+BE441/(BE442/BE485)</f>
        <v>442.77800000000002</v>
      </c>
      <c r="BF425" s="864">
        <f ca="1">BE425+BF441/(BF442/BF485)</f>
        <v>442.77800000000002</v>
      </c>
      <c r="BG425" s="864">
        <f ca="1">BF425+BG441/(BG442/BG485)</f>
        <v>442.77800000000002</v>
      </c>
      <c r="BH425" s="821"/>
    </row>
    <row r="426" spans="1:60" customFormat="1" x14ac:dyDescent="0.25">
      <c r="A426" s="821" t="s">
        <v>109</v>
      </c>
      <c r="B426" s="289"/>
      <c r="C426" s="865">
        <v>408.91199999999998</v>
      </c>
      <c r="D426" s="865">
        <v>380.12799999999999</v>
      </c>
      <c r="E426" s="865">
        <v>380.58299999999997</v>
      </c>
      <c r="F426" s="865">
        <v>412.32800000000003</v>
      </c>
      <c r="G426" s="866">
        <v>421.02199999999999</v>
      </c>
      <c r="H426" s="866">
        <v>424.13</v>
      </c>
      <c r="I426" s="866">
        <v>426.93</v>
      </c>
      <c r="J426" s="866">
        <v>429.12799999999999</v>
      </c>
      <c r="K426" s="865">
        <v>425.327</v>
      </c>
      <c r="L426" s="866">
        <v>430.83600000000001</v>
      </c>
      <c r="M426" s="866">
        <v>431.44099999999997</v>
      </c>
      <c r="N426" s="866">
        <v>432.74200000000002</v>
      </c>
      <c r="O426" s="866">
        <v>432.51400000000001</v>
      </c>
      <c r="P426" s="865">
        <v>431.89400000000001</v>
      </c>
      <c r="Q426" s="866">
        <v>433.81099999999998</v>
      </c>
      <c r="R426" s="866">
        <v>436.09699999999998</v>
      </c>
      <c r="S426" s="866">
        <v>437.60599999999999</v>
      </c>
      <c r="T426" s="866">
        <v>438.25700000000001</v>
      </c>
      <c r="U426" s="865">
        <v>436.45600000000002</v>
      </c>
      <c r="V426" s="866">
        <v>437.99299999999999</v>
      </c>
      <c r="W426" s="866">
        <v>438.154</v>
      </c>
      <c r="X426" s="866">
        <v>438.38900000000001</v>
      </c>
      <c r="Y426" s="866">
        <v>440.06299999999999</v>
      </c>
      <c r="Z426" s="865">
        <v>438.65199999999999</v>
      </c>
      <c r="AA426" s="866">
        <v>445.45800000000003</v>
      </c>
      <c r="AB426" s="866">
        <v>446.262</v>
      </c>
      <c r="AC426" s="866">
        <v>447.36200000000002</v>
      </c>
      <c r="AD426" s="866">
        <v>448.142</v>
      </c>
      <c r="AE426" s="865">
        <v>446.81400000000002</v>
      </c>
      <c r="AF426" s="866">
        <v>450.35899999999998</v>
      </c>
      <c r="AG426" s="866">
        <v>451.55200000000002</v>
      </c>
      <c r="AH426" s="866">
        <v>451.91899999999998</v>
      </c>
      <c r="AI426" s="866">
        <v>451.11599999999999</v>
      </c>
      <c r="AJ426" s="865">
        <v>451.24400000000003</v>
      </c>
      <c r="AK426" s="866">
        <v>451.92200000000003</v>
      </c>
      <c r="AL426" s="866">
        <v>452.19499999999999</v>
      </c>
      <c r="AM426" s="866">
        <v>451.55200000000002</v>
      </c>
      <c r="AN426" s="866">
        <v>451.36700000000002</v>
      </c>
      <c r="AO426" s="865">
        <v>451.76499999999999</v>
      </c>
      <c r="AP426" s="866">
        <v>452.49400000000003</v>
      </c>
      <c r="AQ426" s="866">
        <v>453.94499999999999</v>
      </c>
      <c r="AR426" s="866">
        <v>455.08800000000002</v>
      </c>
      <c r="AS426" s="866">
        <v>455.28300000000002</v>
      </c>
      <c r="AT426" s="865">
        <v>454.20800000000003</v>
      </c>
      <c r="AU426" s="866">
        <v>455.64100000000002</v>
      </c>
      <c r="AV426" s="866">
        <v>455.12900000000002</v>
      </c>
      <c r="AW426" s="878">
        <v>454.92500000000001</v>
      </c>
      <c r="AX426" s="867">
        <f ca="1">AW426+AX441/(AX442/AX485)</f>
        <v>454.92500000000001</v>
      </c>
      <c r="AY426" s="864">
        <f ca="1">AVERAGE(AU426,AV426,AW426,AX426)</f>
        <v>455.15499999999997</v>
      </c>
      <c r="AZ426" s="867">
        <f ca="1">AX426+AZ441/(AZ442/AZ485)</f>
        <v>454.92500000000001</v>
      </c>
      <c r="BA426" s="867">
        <f ca="1">AZ426+BA441/(BA442/BA485)</f>
        <v>454.92500000000001</v>
      </c>
      <c r="BB426" s="867">
        <f ca="1">BA426+BB441/(BB442/BB485)</f>
        <v>454.92500000000001</v>
      </c>
      <c r="BC426" s="867">
        <f ca="1">BB426+BC441/(BC442/BC485)</f>
        <v>454.92500000000001</v>
      </c>
      <c r="BD426" s="864">
        <f ca="1">AVERAGE(AZ426,BA426,BB426,BC426)</f>
        <v>454.92500000000001</v>
      </c>
      <c r="BE426" s="864">
        <f ca="1">BC426+BE441/(BE442/BE485)</f>
        <v>454.92500000000001</v>
      </c>
      <c r="BF426" s="864">
        <f ca="1">BE426+BF441/(BF442/BF485)</f>
        <v>454.92500000000001</v>
      </c>
      <c r="BG426" s="864">
        <f ca="1">BF426+BG441/(BG442/BG485)</f>
        <v>454.92500000000001</v>
      </c>
      <c r="BH426" s="821"/>
    </row>
    <row r="427" spans="1:60" customFormat="1" x14ac:dyDescent="0.25">
      <c r="A427" s="821" t="s">
        <v>110</v>
      </c>
      <c r="B427" s="289"/>
      <c r="C427" s="865">
        <f t="shared" ref="C427:AQ427" si="341">C426</f>
        <v>408.91199999999998</v>
      </c>
      <c r="D427" s="865">
        <f t="shared" si="341"/>
        <v>380.12799999999999</v>
      </c>
      <c r="E427" s="865">
        <f t="shared" si="341"/>
        <v>380.58299999999997</v>
      </c>
      <c r="F427" s="865">
        <f t="shared" si="341"/>
        <v>412.32800000000003</v>
      </c>
      <c r="G427" s="866">
        <f t="shared" si="341"/>
        <v>421.02199999999999</v>
      </c>
      <c r="H427" s="866">
        <f t="shared" si="341"/>
        <v>424.13</v>
      </c>
      <c r="I427" s="866">
        <f t="shared" si="341"/>
        <v>426.93</v>
      </c>
      <c r="J427" s="866">
        <f t="shared" si="341"/>
        <v>429.12799999999999</v>
      </c>
      <c r="K427" s="865">
        <f t="shared" si="341"/>
        <v>425.327</v>
      </c>
      <c r="L427" s="866">
        <f t="shared" si="341"/>
        <v>430.83600000000001</v>
      </c>
      <c r="M427" s="866">
        <f t="shared" si="341"/>
        <v>431.44099999999997</v>
      </c>
      <c r="N427" s="866">
        <f t="shared" si="341"/>
        <v>432.74200000000002</v>
      </c>
      <c r="O427" s="866">
        <f t="shared" si="341"/>
        <v>432.51400000000001</v>
      </c>
      <c r="P427" s="865">
        <f t="shared" si="341"/>
        <v>431.89400000000001</v>
      </c>
      <c r="Q427" s="866">
        <f t="shared" si="341"/>
        <v>433.81099999999998</v>
      </c>
      <c r="R427" s="866">
        <f t="shared" si="341"/>
        <v>436.09699999999998</v>
      </c>
      <c r="S427" s="866">
        <f t="shared" si="341"/>
        <v>437.60599999999999</v>
      </c>
      <c r="T427" s="866">
        <f t="shared" si="341"/>
        <v>438.25700000000001</v>
      </c>
      <c r="U427" s="865">
        <f t="shared" si="341"/>
        <v>436.45600000000002</v>
      </c>
      <c r="V427" s="866">
        <f t="shared" si="341"/>
        <v>437.99299999999999</v>
      </c>
      <c r="W427" s="866">
        <f t="shared" si="341"/>
        <v>438.154</v>
      </c>
      <c r="X427" s="866">
        <f t="shared" si="341"/>
        <v>438.38900000000001</v>
      </c>
      <c r="Y427" s="866">
        <f t="shared" si="341"/>
        <v>440.06299999999999</v>
      </c>
      <c r="Z427" s="865">
        <f t="shared" si="341"/>
        <v>438.65199999999999</v>
      </c>
      <c r="AA427" s="866">
        <f t="shared" si="341"/>
        <v>445.45800000000003</v>
      </c>
      <c r="AB427" s="866">
        <f t="shared" si="341"/>
        <v>446.262</v>
      </c>
      <c r="AC427" s="866">
        <f t="shared" si="341"/>
        <v>447.36200000000002</v>
      </c>
      <c r="AD427" s="866">
        <f t="shared" si="341"/>
        <v>448.142</v>
      </c>
      <c r="AE427" s="865">
        <f t="shared" si="341"/>
        <v>446.81400000000002</v>
      </c>
      <c r="AF427" s="866">
        <f t="shared" si="341"/>
        <v>450.35899999999998</v>
      </c>
      <c r="AG427" s="866">
        <f t="shared" si="341"/>
        <v>451.55200000000002</v>
      </c>
      <c r="AH427" s="866">
        <f t="shared" si="341"/>
        <v>451.91899999999998</v>
      </c>
      <c r="AI427" s="866">
        <f t="shared" si="341"/>
        <v>451.11599999999999</v>
      </c>
      <c r="AJ427" s="865">
        <f t="shared" si="341"/>
        <v>451.24400000000003</v>
      </c>
      <c r="AK427" s="866">
        <f t="shared" si="341"/>
        <v>451.92200000000003</v>
      </c>
      <c r="AL427" s="866">
        <f t="shared" si="341"/>
        <v>452.19499999999999</v>
      </c>
      <c r="AM427" s="866">
        <f t="shared" si="341"/>
        <v>451.55200000000002</v>
      </c>
      <c r="AN427" s="866">
        <f t="shared" si="341"/>
        <v>451.36700000000002</v>
      </c>
      <c r="AO427" s="865">
        <f t="shared" si="341"/>
        <v>451.76499999999999</v>
      </c>
      <c r="AP427" s="866">
        <f t="shared" si="341"/>
        <v>452.49400000000003</v>
      </c>
      <c r="AQ427" s="866">
        <f t="shared" si="341"/>
        <v>453.94499999999999</v>
      </c>
      <c r="AR427" s="866">
        <f>AR426</f>
        <v>455.08800000000002</v>
      </c>
      <c r="AS427" s="866">
        <f>AS426</f>
        <v>455.28300000000002</v>
      </c>
      <c r="AT427" s="865">
        <f>AT426</f>
        <v>454.20800000000003</v>
      </c>
      <c r="AU427" s="866">
        <f t="shared" ref="AU427" si="342">AU426</f>
        <v>455.64100000000002</v>
      </c>
      <c r="AV427" s="866">
        <f>AV426</f>
        <v>455.12900000000002</v>
      </c>
      <c r="AW427" s="878">
        <f>AW426</f>
        <v>454.92500000000001</v>
      </c>
      <c r="AX427" s="867">
        <f ca="1">AW427+AX441/(AX442/AX485)</f>
        <v>454.92500000000001</v>
      </c>
      <c r="AY427" s="864">
        <f ca="1">AVERAGE(AU427,AV427,AW427,AX427)</f>
        <v>455.15499999999997</v>
      </c>
      <c r="AZ427" s="867">
        <f ca="1">AX427+AZ441/(AZ442/AZ485)</f>
        <v>454.92500000000001</v>
      </c>
      <c r="BA427" s="867">
        <f ca="1">AZ427+BA441/(BA442/BA485)</f>
        <v>454.92500000000001</v>
      </c>
      <c r="BB427" s="867">
        <f ca="1">BA427+BB441/(BB442/BB485)</f>
        <v>454.92500000000001</v>
      </c>
      <c r="BC427" s="867">
        <f ca="1">BB427+BC441/(BC442/BC485)</f>
        <v>454.92500000000001</v>
      </c>
      <c r="BD427" s="864">
        <f ca="1">AVERAGE(AZ427,BA427,BB427,BC427)</f>
        <v>454.92500000000001</v>
      </c>
      <c r="BE427" s="864">
        <f ca="1">BC427+BE441/(BE442/BE485)</f>
        <v>454.92500000000001</v>
      </c>
      <c r="BF427" s="864">
        <f ca="1">BE427+BF441/(BF442/BF485)</f>
        <v>454.92500000000001</v>
      </c>
      <c r="BG427" s="864">
        <f ca="1">BF427+BG441/(BG442/BG485)</f>
        <v>454.92500000000001</v>
      </c>
      <c r="BH427" s="821"/>
    </row>
    <row r="428" spans="1:60" customFormat="1" x14ac:dyDescent="0.25">
      <c r="A428" s="289"/>
      <c r="B428" s="289"/>
      <c r="C428" s="864"/>
      <c r="D428" s="864"/>
      <c r="E428" s="864"/>
      <c r="F428" s="864"/>
      <c r="G428" s="867"/>
      <c r="H428" s="867"/>
      <c r="I428" s="867"/>
      <c r="J428" s="867"/>
      <c r="K428" s="864"/>
      <c r="L428" s="867"/>
      <c r="M428" s="867"/>
      <c r="N428" s="867"/>
      <c r="O428" s="867"/>
      <c r="P428" s="864"/>
      <c r="Q428" s="867"/>
      <c r="R428" s="867"/>
      <c r="S428" s="867"/>
      <c r="T428" s="867"/>
      <c r="U428" s="864"/>
      <c r="V428" s="867"/>
      <c r="W428" s="867"/>
      <c r="X428" s="867"/>
      <c r="Y428" s="867"/>
      <c r="Z428" s="864"/>
      <c r="AA428" s="867"/>
      <c r="AB428" s="867"/>
      <c r="AC428" s="867"/>
      <c r="AD428" s="867"/>
      <c r="AE428" s="864"/>
      <c r="AF428" s="867"/>
      <c r="AG428" s="867"/>
      <c r="AH428" s="867"/>
      <c r="AI428" s="867"/>
      <c r="AJ428" s="864"/>
      <c r="AK428" s="867"/>
      <c r="AL428" s="867"/>
      <c r="AM428" s="867"/>
      <c r="AN428" s="867"/>
      <c r="AO428" s="864"/>
      <c r="AP428" s="867"/>
      <c r="AQ428" s="867"/>
      <c r="AR428" s="867"/>
      <c r="AS428" s="867"/>
      <c r="AT428" s="864"/>
      <c r="AU428" s="867"/>
      <c r="AV428" s="867"/>
      <c r="AW428" s="868"/>
      <c r="AX428" s="867"/>
      <c r="AY428" s="864"/>
      <c r="AZ428" s="867"/>
      <c r="BA428" s="867"/>
      <c r="BB428" s="867"/>
      <c r="BC428" s="867"/>
      <c r="BD428" s="864"/>
      <c r="BE428" s="864"/>
      <c r="BF428" s="864"/>
      <c r="BG428" s="864"/>
      <c r="BH428" s="821"/>
    </row>
    <row r="429" spans="1:60" customFormat="1" x14ac:dyDescent="0.25">
      <c r="A429" s="819" t="s">
        <v>111</v>
      </c>
      <c r="B429" s="819"/>
      <c r="C429" s="861"/>
      <c r="D429" s="861"/>
      <c r="E429" s="861"/>
      <c r="F429" s="861"/>
      <c r="G429" s="861"/>
      <c r="H429" s="861"/>
      <c r="I429" s="861"/>
      <c r="J429" s="861"/>
      <c r="K429" s="861"/>
      <c r="L429" s="861"/>
      <c r="M429" s="861"/>
      <c r="N429" s="861"/>
      <c r="O429" s="861"/>
      <c r="P429" s="861"/>
      <c r="Q429" s="861"/>
      <c r="R429" s="861"/>
      <c r="S429" s="861"/>
      <c r="T429" s="861"/>
      <c r="U429" s="861"/>
      <c r="V429" s="861"/>
      <c r="W429" s="861"/>
      <c r="X429" s="861"/>
      <c r="Y429" s="861"/>
      <c r="Z429" s="861"/>
      <c r="AA429" s="861"/>
      <c r="AB429" s="861"/>
      <c r="AC429" s="861"/>
      <c r="AD429" s="861"/>
      <c r="AE429" s="861"/>
      <c r="AF429" s="861"/>
      <c r="AG429" s="861"/>
      <c r="AH429" s="861"/>
      <c r="AI429" s="861"/>
      <c r="AJ429" s="861"/>
      <c r="AK429" s="861"/>
      <c r="AL429" s="861"/>
      <c r="AM429" s="861"/>
      <c r="AN429" s="861"/>
      <c r="AO429" s="861"/>
      <c r="AP429" s="861"/>
      <c r="AQ429" s="861"/>
      <c r="AR429" s="861"/>
      <c r="AS429" s="861"/>
      <c r="AT429" s="861"/>
      <c r="AU429" s="861"/>
      <c r="AV429" s="861"/>
      <c r="AW429" s="862"/>
      <c r="AX429" s="861"/>
      <c r="AY429" s="861"/>
      <c r="AZ429" s="861"/>
      <c r="BA429" s="861"/>
      <c r="BB429" s="861"/>
      <c r="BC429" s="861"/>
      <c r="BD429" s="861"/>
      <c r="BE429" s="861"/>
      <c r="BF429" s="861"/>
      <c r="BG429" s="861"/>
      <c r="BH429" s="824"/>
    </row>
    <row r="430" spans="1:60" customFormat="1" x14ac:dyDescent="0.25">
      <c r="A430" s="821" t="s">
        <v>112</v>
      </c>
      <c r="B430" s="289"/>
      <c r="C430" s="865">
        <f t="shared" ref="C430:AH430" si="343">C568</f>
        <v>302.48199999999997</v>
      </c>
      <c r="D430" s="865">
        <f t="shared" si="343"/>
        <v>217.26100000000002</v>
      </c>
      <c r="E430" s="865">
        <f t="shared" si="343"/>
        <v>202.11900000000017</v>
      </c>
      <c r="F430" s="865">
        <f t="shared" si="343"/>
        <v>-3.239999999999803</v>
      </c>
      <c r="G430" s="866">
        <f t="shared" si="343"/>
        <v>-37.262000000000022</v>
      </c>
      <c r="H430" s="866">
        <f t="shared" si="343"/>
        <v>-19.978999999999957</v>
      </c>
      <c r="I430" s="866">
        <f t="shared" si="343"/>
        <v>43.646000000000178</v>
      </c>
      <c r="J430" s="866">
        <f t="shared" si="343"/>
        <v>-8.4409999999998178</v>
      </c>
      <c r="K430" s="865">
        <f t="shared" si="343"/>
        <v>-22.035999999999937</v>
      </c>
      <c r="L430" s="866">
        <f t="shared" si="343"/>
        <v>-42.615999999999957</v>
      </c>
      <c r="M430" s="866">
        <f t="shared" si="343"/>
        <v>6.3390000000000235</v>
      </c>
      <c r="N430" s="866">
        <f t="shared" si="343"/>
        <v>-73.371000000000123</v>
      </c>
      <c r="O430" s="866">
        <f t="shared" si="343"/>
        <v>-10.971999999999678</v>
      </c>
      <c r="P430" s="865">
        <f t="shared" si="343"/>
        <v>-120.61999999999988</v>
      </c>
      <c r="Q430" s="866">
        <f t="shared" si="343"/>
        <v>-208.32999999999996</v>
      </c>
      <c r="R430" s="866">
        <f t="shared" si="343"/>
        <v>-205.58099999999999</v>
      </c>
      <c r="S430" s="866">
        <f t="shared" si="343"/>
        <v>-292.23099999999999</v>
      </c>
      <c r="T430" s="866">
        <f t="shared" si="343"/>
        <v>-216.18399999999997</v>
      </c>
      <c r="U430" s="865">
        <f t="shared" si="343"/>
        <v>-922.32599999999979</v>
      </c>
      <c r="V430" s="866">
        <f t="shared" si="343"/>
        <v>-262.19800000000038</v>
      </c>
      <c r="W430" s="866">
        <f t="shared" si="343"/>
        <v>-281.02799999999928</v>
      </c>
      <c r="X430" s="866">
        <f t="shared" si="343"/>
        <v>-548.1230000000005</v>
      </c>
      <c r="Y430" s="866">
        <f t="shared" si="343"/>
        <v>-575.01500000000055</v>
      </c>
      <c r="Z430" s="865">
        <f t="shared" si="343"/>
        <v>-1666.3640000000009</v>
      </c>
      <c r="AA430" s="866">
        <f t="shared" si="343"/>
        <v>-425.06699999999995</v>
      </c>
      <c r="AB430" s="866">
        <f t="shared" si="343"/>
        <v>-399.01000000000067</v>
      </c>
      <c r="AC430" s="866">
        <f t="shared" si="343"/>
        <v>-511.64099999999968</v>
      </c>
      <c r="AD430" s="866">
        <f t="shared" si="343"/>
        <v>-509.20700000000062</v>
      </c>
      <c r="AE430" s="865">
        <f t="shared" si="343"/>
        <v>-1844.9250000000011</v>
      </c>
      <c r="AF430" s="866">
        <f t="shared" si="343"/>
        <v>-443.08399999999926</v>
      </c>
      <c r="AG430" s="866">
        <f t="shared" si="343"/>
        <v>-511.98700000000008</v>
      </c>
      <c r="AH430" s="866">
        <f t="shared" si="343"/>
        <v>-782.97199999999987</v>
      </c>
      <c r="AI430" s="866">
        <f t="shared" ref="AI430:AY430" si="344">AI568</f>
        <v>-1236.2030000000002</v>
      </c>
      <c r="AJ430" s="865">
        <f t="shared" si="344"/>
        <v>-2974.2460000000005</v>
      </c>
      <c r="AK430" s="866">
        <f t="shared" si="344"/>
        <v>-424.20999999999964</v>
      </c>
      <c r="AL430" s="866">
        <f t="shared" si="344"/>
        <v>-548.1100000000007</v>
      </c>
      <c r="AM430" s="866">
        <f t="shared" si="344"/>
        <v>-732.97399999999891</v>
      </c>
      <c r="AN430" s="866">
        <f t="shared" si="344"/>
        <v>-1225.0710000000022</v>
      </c>
      <c r="AO430" s="865">
        <f t="shared" si="344"/>
        <v>-2930.365000000003</v>
      </c>
      <c r="AP430" s="866">
        <f t="shared" si="344"/>
        <v>301.6650000000003</v>
      </c>
      <c r="AQ430" s="866">
        <f t="shared" si="344"/>
        <v>1251.7819999999999</v>
      </c>
      <c r="AR430" s="866">
        <f>AR568</f>
        <v>918.08900000000085</v>
      </c>
      <c r="AS430" s="866">
        <f>AS568</f>
        <v>-12.586000000000723</v>
      </c>
      <c r="AT430" s="865">
        <f>AT568</f>
        <v>2458.9499999999998</v>
      </c>
      <c r="AU430" s="866">
        <f t="shared" ref="AU430" si="345">AU568</f>
        <v>997.32599999999979</v>
      </c>
      <c r="AV430" s="866">
        <f>AV568</f>
        <v>113.17899999999972</v>
      </c>
      <c r="AW430" s="878">
        <f>AW568</f>
        <v>-101.3400000000008</v>
      </c>
      <c r="AX430" s="867">
        <f t="shared" si="344"/>
        <v>271.5603459323691</v>
      </c>
      <c r="AY430" s="864">
        <f t="shared" si="344"/>
        <v>1280.7253459323672</v>
      </c>
      <c r="AZ430" s="867">
        <f t="shared" ref="AZ430:BG430" ca="1" si="346">AZ568</f>
        <v>1136.6384881714866</v>
      </c>
      <c r="BA430" s="867">
        <f t="shared" ca="1" si="346"/>
        <v>1160.0774344260517</v>
      </c>
      <c r="BB430" s="867">
        <f t="shared" ca="1" si="346"/>
        <v>1292.8979589021146</v>
      </c>
      <c r="BC430" s="867">
        <f t="shared" ca="1" si="346"/>
        <v>862.27079863117058</v>
      </c>
      <c r="BD430" s="864">
        <f t="shared" ca="1" si="346"/>
        <v>4451.8846801308237</v>
      </c>
      <c r="BE430" s="864">
        <f t="shared" ca="1" si="346"/>
        <v>6867.4865262580552</v>
      </c>
      <c r="BF430" s="864">
        <f t="shared" ca="1" si="346"/>
        <v>9863.1226361945191</v>
      </c>
      <c r="BG430" s="864">
        <f t="shared" ca="1" si="346"/>
        <v>13222.66613696791</v>
      </c>
      <c r="BH430" s="821"/>
    </row>
    <row r="431" spans="1:60" customFormat="1" x14ac:dyDescent="0.25">
      <c r="A431" s="72" t="s">
        <v>113</v>
      </c>
      <c r="B431" s="515"/>
      <c r="C431" s="19">
        <f t="shared" ref="C431:AH431" si="347">C430/C426</f>
        <v>0.73972395038541294</v>
      </c>
      <c r="D431" s="19">
        <f t="shared" si="347"/>
        <v>0.57154695260543831</v>
      </c>
      <c r="E431" s="20">
        <f t="shared" si="347"/>
        <v>0.53107732084722703</v>
      </c>
      <c r="F431" s="20">
        <f t="shared" si="347"/>
        <v>-7.8578219281732094E-3</v>
      </c>
      <c r="G431" s="85">
        <f t="shared" si="347"/>
        <v>-8.8503688643348857E-2</v>
      </c>
      <c r="H431" s="85">
        <f t="shared" si="347"/>
        <v>-4.7105840190507522E-2</v>
      </c>
      <c r="I431" s="85">
        <f t="shared" si="347"/>
        <v>0.10223221605415449</v>
      </c>
      <c r="J431" s="85">
        <f t="shared" si="347"/>
        <v>-1.967012173523941E-2</v>
      </c>
      <c r="K431" s="20">
        <f t="shared" si="347"/>
        <v>-5.1809548888266999E-2</v>
      </c>
      <c r="L431" s="85">
        <f t="shared" si="347"/>
        <v>-9.8914668226424807E-2</v>
      </c>
      <c r="M431" s="85">
        <f t="shared" si="347"/>
        <v>1.4692623093308295E-2</v>
      </c>
      <c r="N431" s="85">
        <f t="shared" si="347"/>
        <v>-0.16954906156555205</v>
      </c>
      <c r="O431" s="85">
        <f t="shared" si="347"/>
        <v>-2.5367964967607241E-2</v>
      </c>
      <c r="P431" s="20">
        <f t="shared" si="347"/>
        <v>-0.27928149036569128</v>
      </c>
      <c r="Q431" s="85">
        <f t="shared" si="347"/>
        <v>-0.48023217484111735</v>
      </c>
      <c r="R431" s="85">
        <f t="shared" si="347"/>
        <v>-0.47141117687120065</v>
      </c>
      <c r="S431" s="85">
        <f t="shared" si="347"/>
        <v>-0.66779477429468515</v>
      </c>
      <c r="T431" s="85">
        <f t="shared" si="347"/>
        <v>-0.49328133948801722</v>
      </c>
      <c r="U431" s="20">
        <f t="shared" si="347"/>
        <v>-2.1132164525175501</v>
      </c>
      <c r="V431" s="85">
        <f t="shared" si="347"/>
        <v>-0.59863513800448953</v>
      </c>
      <c r="W431" s="85">
        <f t="shared" si="347"/>
        <v>-0.64139092647790341</v>
      </c>
      <c r="X431" s="85">
        <f t="shared" si="347"/>
        <v>-1.2503119375714273</v>
      </c>
      <c r="Y431" s="85">
        <f t="shared" si="347"/>
        <v>-1.306665182030756</v>
      </c>
      <c r="Z431" s="20">
        <f t="shared" si="347"/>
        <v>-3.7988291401840204</v>
      </c>
      <c r="AA431" s="85">
        <f t="shared" si="347"/>
        <v>-0.95422464070686785</v>
      </c>
      <c r="AB431" s="85">
        <f t="shared" si="347"/>
        <v>-0.89411601256661033</v>
      </c>
      <c r="AC431" s="85">
        <f t="shared" si="347"/>
        <v>-1.1436845328838829</v>
      </c>
      <c r="AD431" s="85">
        <f t="shared" si="347"/>
        <v>-1.1362626131895708</v>
      </c>
      <c r="AE431" s="20">
        <f t="shared" si="347"/>
        <v>-4.1290671286038512</v>
      </c>
      <c r="AF431" s="85">
        <f t="shared" si="347"/>
        <v>-0.98384622045967618</v>
      </c>
      <c r="AG431" s="85">
        <f t="shared" si="347"/>
        <v>-1.133838406207923</v>
      </c>
      <c r="AH431" s="85">
        <f t="shared" si="347"/>
        <v>-1.7325494170415492</v>
      </c>
      <c r="AI431" s="85">
        <f t="shared" ref="AI431:AY431" si="348">AI430/AI426</f>
        <v>-2.7403217797639638</v>
      </c>
      <c r="AJ431" s="20">
        <f t="shared" si="348"/>
        <v>-6.5912145092233922</v>
      </c>
      <c r="AK431" s="85">
        <f t="shared" si="348"/>
        <v>-0.9386796836622241</v>
      </c>
      <c r="AL431" s="85">
        <f t="shared" si="348"/>
        <v>-1.2121098198785938</v>
      </c>
      <c r="AM431" s="85">
        <f t="shared" si="348"/>
        <v>-1.6232327616752862</v>
      </c>
      <c r="AN431" s="85">
        <f t="shared" si="348"/>
        <v>-2.7141350608263388</v>
      </c>
      <c r="AO431" s="20">
        <f t="shared" si="348"/>
        <v>-6.4864808030724008</v>
      </c>
      <c r="AP431" s="85">
        <f t="shared" si="348"/>
        <v>0.66667182327279539</v>
      </c>
      <c r="AQ431" s="85">
        <f t="shared" si="348"/>
        <v>2.757563140909141</v>
      </c>
      <c r="AR431" s="85">
        <f>AR430/AR426</f>
        <v>2.0173878458671748</v>
      </c>
      <c r="AS431" s="85">
        <f>AS430/AS426</f>
        <v>-2.7644344286961567E-2</v>
      </c>
      <c r="AT431" s="20">
        <f>AT430/AT426</f>
        <v>5.4137091376638011</v>
      </c>
      <c r="AU431" s="85">
        <f t="shared" ref="AU431" si="349">AU430/AU426</f>
        <v>2.1888416538459001</v>
      </c>
      <c r="AV431" s="85">
        <f>AV430/AV426</f>
        <v>0.24867455161064161</v>
      </c>
      <c r="AW431" s="586">
        <f>AW430/AW426</f>
        <v>-0.22276199373523284</v>
      </c>
      <c r="AX431" s="189">
        <f t="shared" ca="1" si="348"/>
        <v>0.59693432089326615</v>
      </c>
      <c r="AY431" s="101">
        <f t="shared" ca="1" si="348"/>
        <v>2.8138224251790427</v>
      </c>
      <c r="AZ431" s="189">
        <f t="shared" ref="AZ431:BG431" ca="1" si="350">AZ430/AZ426</f>
        <v>2.4985184111039986</v>
      </c>
      <c r="BA431" s="189">
        <f t="shared" ca="1" si="350"/>
        <v>2.5500410714426591</v>
      </c>
      <c r="BB431" s="189">
        <f t="shared" ca="1" si="350"/>
        <v>2.8420024375492985</v>
      </c>
      <c r="BC431" s="189">
        <f t="shared" ca="1" si="350"/>
        <v>1.8954130870608794</v>
      </c>
      <c r="BD431" s="101">
        <f t="shared" ca="1" si="350"/>
        <v>9.7859750071568357</v>
      </c>
      <c r="BE431" s="101">
        <f t="shared" ca="1" si="350"/>
        <v>15.095865310233675</v>
      </c>
      <c r="BF431" s="101">
        <f t="shared" ca="1" si="350"/>
        <v>21.680766359717577</v>
      </c>
      <c r="BG431" s="101">
        <f t="shared" ca="1" si="350"/>
        <v>29.065595728895772</v>
      </c>
      <c r="BH431" s="83"/>
    </row>
    <row r="432" spans="1:60" customFormat="1" x14ac:dyDescent="0.25">
      <c r="A432" s="146" t="str">
        <f>CONCATENATE("Consensus Estimates - ",IFERROR(LEFT(A431,FIND("(",A431)-1),A431))</f>
        <v>Consensus Estimates - Cash Flow Per Diluted Share</v>
      </c>
      <c r="B432" s="184"/>
      <c r="C432" s="147"/>
      <c r="D432" s="147"/>
      <c r="E432" s="147"/>
      <c r="F432" s="147"/>
      <c r="G432" s="148"/>
      <c r="H432" s="148"/>
      <c r="I432" s="148"/>
      <c r="J432" s="148"/>
      <c r="K432" s="147"/>
      <c r="L432" s="148"/>
      <c r="M432" s="148"/>
      <c r="N432" s="148"/>
      <c r="O432" s="148"/>
      <c r="P432" s="147"/>
      <c r="Q432" s="148"/>
      <c r="R432" s="148"/>
      <c r="S432" s="148"/>
      <c r="T432" s="148"/>
      <c r="U432" s="147"/>
      <c r="V432" s="148"/>
      <c r="W432" s="150"/>
      <c r="X432" s="148"/>
      <c r="Y432" s="150"/>
      <c r="Z432" s="100"/>
      <c r="AA432" s="148"/>
      <c r="AB432" s="150"/>
      <c r="AC432" s="148"/>
      <c r="AD432" s="150"/>
      <c r="AE432" s="100"/>
      <c r="AF432" s="148"/>
      <c r="AG432" s="150"/>
      <c r="AH432" s="148"/>
      <c r="AI432" s="150"/>
      <c r="AJ432" s="100"/>
      <c r="AK432" s="148"/>
      <c r="AL432" s="150"/>
      <c r="AM432" s="148"/>
      <c r="AN432" s="150"/>
      <c r="AO432" s="100"/>
      <c r="AP432" s="148"/>
      <c r="AQ432" s="150"/>
      <c r="AR432" s="148"/>
      <c r="AS432" s="150"/>
      <c r="AT432" s="100"/>
      <c r="AU432" s="148"/>
      <c r="AV432" s="150"/>
      <c r="AW432" s="638"/>
      <c r="AX432" s="148" t="str">
        <f t="shared" ref="AX432:BD432" ca="1" si="351">IFERROR(VLOOKUP($A432,tb_ConsensusEstimate,MATCH(AX$5,OFFSET(tb_ConsensusEstimate,0,0,1,COLUMNS(tb_ConsensusEstimate)),0),FALSE),"-")</f>
        <v>N/A</v>
      </c>
      <c r="AY432" s="100" t="str">
        <f t="shared" ca="1" si="351"/>
        <v>N/A</v>
      </c>
      <c r="AZ432" s="148" t="str">
        <f t="shared" ca="1" si="351"/>
        <v>N/A</v>
      </c>
      <c r="BA432" s="148" t="str">
        <f t="shared" ca="1" si="351"/>
        <v>N/A</v>
      </c>
      <c r="BB432" s="148" t="str">
        <f t="shared" ca="1" si="351"/>
        <v>N/A</v>
      </c>
      <c r="BC432" s="148" t="str">
        <f t="shared" ca="1" si="351"/>
        <v>N/A</v>
      </c>
      <c r="BD432" s="100" t="str">
        <f t="shared" ca="1" si="351"/>
        <v>N/A</v>
      </c>
      <c r="BE432" s="100" t="str">
        <f ca="1">IFERROR(VLOOKUP(A432,tb_ConsensusEstimate,MATCH(BE5,OFFSET(tb_ConsensusEstimate,0,0,1,COLUMNS(tb_ConsensusEstimate)),0),FALSE),"-")</f>
        <v>N/A</v>
      </c>
      <c r="BF432" s="100" t="str">
        <f ca="1">IFERROR(VLOOKUP(A432,tb_ConsensusEstimate,MATCH(BF5,OFFSET(tb_ConsensusEstimate,0,0,1,COLUMNS(tb_ConsensusEstimate)),0),FALSE),"-")</f>
        <v>N/A</v>
      </c>
      <c r="BG432" s="100" t="str">
        <f ca="1">IFERROR(VLOOKUP(A432,tb_ConsensusEstimate,MATCH(BG5,OFFSET(tb_ConsensusEstimate,0,0,1,COLUMNS(tb_ConsensusEstimate)),0),FALSE),"-")</f>
        <v>N/A</v>
      </c>
      <c r="BH432" s="148"/>
    </row>
    <row r="433" spans="1:60" customFormat="1" x14ac:dyDescent="0.25">
      <c r="A433" s="73" t="s">
        <v>114</v>
      </c>
      <c r="B433" s="423"/>
      <c r="C433" s="875">
        <f t="shared" ref="C433:AQ433" si="352">C578+C579</f>
        <v>-238.976</v>
      </c>
      <c r="D433" s="875">
        <f t="shared" si="352"/>
        <v>-157.738</v>
      </c>
      <c r="E433" s="875">
        <f t="shared" si="352"/>
        <v>-134.83600000000001</v>
      </c>
      <c r="F433" s="875">
        <f t="shared" si="352"/>
        <v>-88.552999999999997</v>
      </c>
      <c r="G433" s="876">
        <f t="shared" si="352"/>
        <v>-33.311</v>
      </c>
      <c r="H433" s="876">
        <f t="shared" si="352"/>
        <v>-22.110999999999997</v>
      </c>
      <c r="I433" s="876">
        <f t="shared" si="352"/>
        <v>-26.298999999999996</v>
      </c>
      <c r="J433" s="876">
        <f t="shared" si="352"/>
        <v>-38.349000000000011</v>
      </c>
      <c r="K433" s="875">
        <f t="shared" si="352"/>
        <v>-120.07000000000001</v>
      </c>
      <c r="L433" s="876">
        <f t="shared" si="352"/>
        <v>-28.247999999999998</v>
      </c>
      <c r="M433" s="876">
        <f t="shared" si="352"/>
        <v>-40.850000000000009</v>
      </c>
      <c r="N433" s="876">
        <f t="shared" si="352"/>
        <v>-36.561999999999991</v>
      </c>
      <c r="O433" s="876">
        <f t="shared" si="352"/>
        <v>-38.856000000000009</v>
      </c>
      <c r="P433" s="875">
        <f t="shared" si="352"/>
        <v>-144.51600000000002</v>
      </c>
      <c r="Q433" s="876">
        <f t="shared" si="352"/>
        <v>-35.942</v>
      </c>
      <c r="R433" s="876">
        <f t="shared" si="352"/>
        <v>-47.323999999999998</v>
      </c>
      <c r="S433" s="876">
        <f t="shared" si="352"/>
        <v>-52.287000000000006</v>
      </c>
      <c r="T433" s="876">
        <f t="shared" si="352"/>
        <v>-33.652999999999999</v>
      </c>
      <c r="U433" s="875">
        <f t="shared" si="352"/>
        <v>-169.20600000000002</v>
      </c>
      <c r="V433" s="876">
        <f t="shared" si="352"/>
        <v>-31.632000000000001</v>
      </c>
      <c r="W433" s="876">
        <f t="shared" si="352"/>
        <v>-28.738</v>
      </c>
      <c r="X433" s="876">
        <f t="shared" si="352"/>
        <v>-44.614999999999995</v>
      </c>
      <c r="Y433" s="876">
        <f t="shared" si="352"/>
        <v>-79.845000000000013</v>
      </c>
      <c r="Z433" s="875">
        <f t="shared" si="352"/>
        <v>-184.83</v>
      </c>
      <c r="AA433" s="876">
        <f t="shared" si="352"/>
        <v>-77.89500000000001</v>
      </c>
      <c r="AB433" s="876">
        <f t="shared" si="352"/>
        <v>-72.85499999999999</v>
      </c>
      <c r="AC433" s="876">
        <f t="shared" si="352"/>
        <v>-44.180000000000007</v>
      </c>
      <c r="AD433" s="876">
        <f t="shared" si="352"/>
        <v>-32.091999999999977</v>
      </c>
      <c r="AE433" s="875">
        <f t="shared" si="352"/>
        <v>-227.02199999999999</v>
      </c>
      <c r="AF433" s="876">
        <f t="shared" si="352"/>
        <v>-47.966000000000001</v>
      </c>
      <c r="AG433" s="876">
        <f t="shared" si="352"/>
        <v>-39.874999999999993</v>
      </c>
      <c r="AH433" s="876">
        <f t="shared" si="352"/>
        <v>-47.064</v>
      </c>
      <c r="AI433" s="876">
        <f t="shared" si="352"/>
        <v>-77.62700000000001</v>
      </c>
      <c r="AJ433" s="875">
        <f t="shared" si="352"/>
        <v>-212.53199999999998</v>
      </c>
      <c r="AK433" s="876">
        <f t="shared" si="352"/>
        <v>-69.551000000000002</v>
      </c>
      <c r="AL433" s="876">
        <f t="shared" si="352"/>
        <v>-47.382000000000005</v>
      </c>
      <c r="AM433" s="876">
        <f t="shared" si="352"/>
        <v>-49.966999999999999</v>
      </c>
      <c r="AN433" s="876">
        <f t="shared" si="352"/>
        <v>-86.134999999999991</v>
      </c>
      <c r="AO433" s="875">
        <f t="shared" si="352"/>
        <v>-253.035</v>
      </c>
      <c r="AP433" s="876">
        <f t="shared" si="352"/>
        <v>-98.015000000000001</v>
      </c>
      <c r="AQ433" s="876">
        <f t="shared" si="352"/>
        <v>-141.74099999999999</v>
      </c>
      <c r="AR433" s="876">
        <f>AR578+AR579</f>
        <v>-109.81100000000001</v>
      </c>
      <c r="AS433" s="876">
        <f>AS578+AS579</f>
        <v>-148.35599999999999</v>
      </c>
      <c r="AT433" s="875">
        <f>AT578+AT579</f>
        <v>-497.923</v>
      </c>
      <c r="AU433" s="876">
        <f t="shared" ref="AU433" si="353">AU578+AU579</f>
        <v>-81.001000000000005</v>
      </c>
      <c r="AV433" s="876">
        <f>AV578+AV579</f>
        <v>-110.27799999999999</v>
      </c>
      <c r="AW433" s="877">
        <f>AW578+AW579</f>
        <v>-167.327</v>
      </c>
      <c r="AX433" s="916">
        <v>-100</v>
      </c>
      <c r="AY433" s="875">
        <f>AY578+AY579</f>
        <v>-458.60599999999999</v>
      </c>
      <c r="AZ433" s="916">
        <v>-100</v>
      </c>
      <c r="BA433" s="916">
        <v>-100</v>
      </c>
      <c r="BB433" s="916">
        <v>-100</v>
      </c>
      <c r="BC433" s="916">
        <v>-100</v>
      </c>
      <c r="BD433" s="875">
        <f>BD578+BD579</f>
        <v>-400</v>
      </c>
      <c r="BE433" s="917">
        <v>-400</v>
      </c>
      <c r="BF433" s="917">
        <v>-400</v>
      </c>
      <c r="BG433" s="917">
        <v>-400</v>
      </c>
      <c r="BH433" s="824"/>
    </row>
    <row r="434" spans="1:60" customFormat="1" x14ac:dyDescent="0.25">
      <c r="A434" s="950" t="str">
        <f>CONCATENATE("Consensus Estimates - ",IFERROR(LEFT(A433,FIND("(",A433)-1),A433))</f>
        <v>Consensus Estimates - Capex</v>
      </c>
      <c r="B434" s="951"/>
      <c r="C434" s="900"/>
      <c r="D434" s="900"/>
      <c r="E434" s="900"/>
      <c r="F434" s="900"/>
      <c r="G434" s="901"/>
      <c r="H434" s="901"/>
      <c r="I434" s="901"/>
      <c r="J434" s="901"/>
      <c r="K434" s="900"/>
      <c r="L434" s="901"/>
      <c r="M434" s="901"/>
      <c r="N434" s="901"/>
      <c r="O434" s="901"/>
      <c r="P434" s="900"/>
      <c r="Q434" s="901"/>
      <c r="R434" s="901"/>
      <c r="S434" s="901"/>
      <c r="T434" s="901"/>
      <c r="U434" s="900"/>
      <c r="V434" s="901"/>
      <c r="W434" s="902"/>
      <c r="X434" s="901"/>
      <c r="Y434" s="902"/>
      <c r="Z434" s="851"/>
      <c r="AA434" s="901"/>
      <c r="AB434" s="902"/>
      <c r="AC434" s="901"/>
      <c r="AD434" s="902"/>
      <c r="AE434" s="851"/>
      <c r="AF434" s="901"/>
      <c r="AG434" s="902"/>
      <c r="AH434" s="901"/>
      <c r="AI434" s="902"/>
      <c r="AJ434" s="851"/>
      <c r="AK434" s="901"/>
      <c r="AL434" s="902"/>
      <c r="AM434" s="901"/>
      <c r="AN434" s="902"/>
      <c r="AO434" s="851"/>
      <c r="AP434" s="901"/>
      <c r="AQ434" s="902"/>
      <c r="AR434" s="901"/>
      <c r="AS434" s="902"/>
      <c r="AT434" s="851"/>
      <c r="AU434" s="901"/>
      <c r="AV434" s="902"/>
      <c r="AW434" s="903"/>
      <c r="AX434" s="901" t="str">
        <f t="shared" ref="AX434:BD434" ca="1" si="354">IFERROR(VLOOKUP($A434,tb_ConsensusEstimate,MATCH(AX$5,OFFSET(tb_ConsensusEstimate,0,0,1,COLUMNS(tb_ConsensusEstimate)),0),FALSE),"-")</f>
        <v>N/A</v>
      </c>
      <c r="AY434" s="851" t="str">
        <f t="shared" ca="1" si="354"/>
        <v>N/A</v>
      </c>
      <c r="AZ434" s="901" t="str">
        <f t="shared" ca="1" si="354"/>
        <v>N/A</v>
      </c>
      <c r="BA434" s="901" t="str">
        <f t="shared" ca="1" si="354"/>
        <v>N/A</v>
      </c>
      <c r="BB434" s="901" t="str">
        <f t="shared" ca="1" si="354"/>
        <v>N/A</v>
      </c>
      <c r="BC434" s="901" t="str">
        <f t="shared" ca="1" si="354"/>
        <v>N/A</v>
      </c>
      <c r="BD434" s="851" t="str">
        <f t="shared" ca="1" si="354"/>
        <v>N/A</v>
      </c>
      <c r="BE434" s="851" t="str">
        <f ca="1">IFERROR(VLOOKUP(A434,tb_ConsensusEstimate,MATCH(BE5,OFFSET(tb_ConsensusEstimate,0,0,1,COLUMNS(tb_ConsensusEstimate)),0),FALSE),"-")</f>
        <v>N/A</v>
      </c>
      <c r="BF434" s="851" t="str">
        <f ca="1">IFERROR(VLOOKUP(A434,tb_ConsensusEstimate,MATCH(BF5,OFFSET(tb_ConsensusEstimate,0,0,1,COLUMNS(tb_ConsensusEstimate)),0),FALSE),"-")</f>
        <v>N/A</v>
      </c>
      <c r="BG434" s="851" t="str">
        <f ca="1">IFERROR(VLOOKUP(A434,tb_ConsensusEstimate,MATCH(BG5,OFFSET(tb_ConsensusEstimate,0,0,1,COLUMNS(tb_ConsensusEstimate)),0),FALSE),"-")</f>
        <v>N/A</v>
      </c>
      <c r="BH434" s="830"/>
    </row>
    <row r="435" spans="1:60" customFormat="1" x14ac:dyDescent="0.25">
      <c r="A435" s="821" t="s">
        <v>115</v>
      </c>
      <c r="B435" s="289"/>
      <c r="C435" s="865">
        <f t="shared" ref="C435:AQ435" si="355">C584</f>
        <v>0</v>
      </c>
      <c r="D435" s="865">
        <f t="shared" si="355"/>
        <v>0</v>
      </c>
      <c r="E435" s="865">
        <f t="shared" si="355"/>
        <v>0</v>
      </c>
      <c r="F435" s="865">
        <f t="shared" si="355"/>
        <v>0</v>
      </c>
      <c r="G435" s="866">
        <f t="shared" si="355"/>
        <v>0</v>
      </c>
      <c r="H435" s="866">
        <f t="shared" si="355"/>
        <v>0</v>
      </c>
      <c r="I435" s="866">
        <f t="shared" si="355"/>
        <v>0</v>
      </c>
      <c r="J435" s="866">
        <f t="shared" si="355"/>
        <v>0</v>
      </c>
      <c r="K435" s="865">
        <f t="shared" si="355"/>
        <v>0</v>
      </c>
      <c r="L435" s="866">
        <f t="shared" si="355"/>
        <v>0</v>
      </c>
      <c r="M435" s="866">
        <f t="shared" si="355"/>
        <v>0</v>
      </c>
      <c r="N435" s="866">
        <f t="shared" si="355"/>
        <v>0</v>
      </c>
      <c r="O435" s="866">
        <f t="shared" si="355"/>
        <v>0</v>
      </c>
      <c r="P435" s="865">
        <f t="shared" si="355"/>
        <v>0</v>
      </c>
      <c r="Q435" s="866">
        <f t="shared" si="355"/>
        <v>0</v>
      </c>
      <c r="R435" s="866">
        <f t="shared" si="355"/>
        <v>0</v>
      </c>
      <c r="S435" s="866">
        <f t="shared" si="355"/>
        <v>0</v>
      </c>
      <c r="T435" s="866">
        <f t="shared" si="355"/>
        <v>0</v>
      </c>
      <c r="U435" s="865">
        <f t="shared" si="355"/>
        <v>0</v>
      </c>
      <c r="V435" s="866">
        <f t="shared" si="355"/>
        <v>0</v>
      </c>
      <c r="W435" s="866">
        <f t="shared" si="355"/>
        <v>0</v>
      </c>
      <c r="X435" s="866">
        <f t="shared" si="355"/>
        <v>0</v>
      </c>
      <c r="Y435" s="866">
        <f t="shared" si="355"/>
        <v>0</v>
      </c>
      <c r="Z435" s="865">
        <f t="shared" si="355"/>
        <v>0</v>
      </c>
      <c r="AA435" s="866">
        <f t="shared" si="355"/>
        <v>0</v>
      </c>
      <c r="AB435" s="866">
        <f t="shared" si="355"/>
        <v>0</v>
      </c>
      <c r="AC435" s="866">
        <f t="shared" si="355"/>
        <v>0</v>
      </c>
      <c r="AD435" s="866">
        <f t="shared" si="355"/>
        <v>0</v>
      </c>
      <c r="AE435" s="865">
        <f t="shared" si="355"/>
        <v>0</v>
      </c>
      <c r="AF435" s="866">
        <f t="shared" si="355"/>
        <v>0</v>
      </c>
      <c r="AG435" s="866">
        <f t="shared" si="355"/>
        <v>0</v>
      </c>
      <c r="AH435" s="866">
        <f t="shared" si="355"/>
        <v>0</v>
      </c>
      <c r="AI435" s="866">
        <f t="shared" si="355"/>
        <v>0</v>
      </c>
      <c r="AJ435" s="865">
        <f t="shared" si="355"/>
        <v>0</v>
      </c>
      <c r="AK435" s="866">
        <f t="shared" si="355"/>
        <v>0</v>
      </c>
      <c r="AL435" s="866">
        <f t="shared" si="355"/>
        <v>0</v>
      </c>
      <c r="AM435" s="866">
        <f t="shared" si="355"/>
        <v>0</v>
      </c>
      <c r="AN435" s="866">
        <f t="shared" si="355"/>
        <v>0</v>
      </c>
      <c r="AO435" s="865">
        <f t="shared" si="355"/>
        <v>0</v>
      </c>
      <c r="AP435" s="866">
        <f t="shared" si="355"/>
        <v>0</v>
      </c>
      <c r="AQ435" s="866">
        <f t="shared" si="355"/>
        <v>0</v>
      </c>
      <c r="AR435" s="866">
        <f>AR584</f>
        <v>0</v>
      </c>
      <c r="AS435" s="866">
        <f>AS584</f>
        <v>0</v>
      </c>
      <c r="AT435" s="865">
        <f>AT584</f>
        <v>0</v>
      </c>
      <c r="AU435" s="866">
        <f t="shared" ref="AU435" si="356">AU584</f>
        <v>0</v>
      </c>
      <c r="AV435" s="866">
        <f>AV584</f>
        <v>0</v>
      </c>
      <c r="AW435" s="878">
        <f>AW584</f>
        <v>0</v>
      </c>
      <c r="AX435" s="905">
        <v>0</v>
      </c>
      <c r="AY435" s="864">
        <f>AY584</f>
        <v>0</v>
      </c>
      <c r="AZ435" s="905">
        <v>0</v>
      </c>
      <c r="BA435" s="905">
        <v>0</v>
      </c>
      <c r="BB435" s="905">
        <v>0</v>
      </c>
      <c r="BC435" s="905">
        <v>0</v>
      </c>
      <c r="BD435" s="864">
        <f>BD584</f>
        <v>0</v>
      </c>
      <c r="BE435" s="906">
        <v>0</v>
      </c>
      <c r="BF435" s="906">
        <v>0</v>
      </c>
      <c r="BG435" s="906">
        <v>0</v>
      </c>
      <c r="BH435" s="821"/>
    </row>
    <row r="436" spans="1:60" customFormat="1" x14ac:dyDescent="0.25">
      <c r="A436" s="821" t="s">
        <v>116</v>
      </c>
      <c r="B436" s="289"/>
      <c r="C436" s="865">
        <f t="shared" ref="C436:AQ436" si="357">C582+C580</f>
        <v>18.646999999999998</v>
      </c>
      <c r="D436" s="865">
        <f t="shared" si="357"/>
        <v>0</v>
      </c>
      <c r="E436" s="865">
        <f t="shared" si="357"/>
        <v>0</v>
      </c>
      <c r="F436" s="865">
        <f t="shared" si="357"/>
        <v>0</v>
      </c>
      <c r="G436" s="866">
        <f t="shared" si="357"/>
        <v>0</v>
      </c>
      <c r="H436" s="866">
        <f t="shared" si="357"/>
        <v>0</v>
      </c>
      <c r="I436" s="866">
        <f t="shared" si="357"/>
        <v>0</v>
      </c>
      <c r="J436" s="866">
        <f t="shared" si="357"/>
        <v>0</v>
      </c>
      <c r="K436" s="865">
        <f t="shared" si="357"/>
        <v>0</v>
      </c>
      <c r="L436" s="866">
        <f t="shared" si="357"/>
        <v>0</v>
      </c>
      <c r="M436" s="866">
        <f t="shared" si="357"/>
        <v>0</v>
      </c>
      <c r="N436" s="866">
        <f t="shared" si="357"/>
        <v>0</v>
      </c>
      <c r="O436" s="866">
        <f t="shared" si="357"/>
        <v>0</v>
      </c>
      <c r="P436" s="865">
        <f t="shared" si="357"/>
        <v>0</v>
      </c>
      <c r="Q436" s="866">
        <f t="shared" si="357"/>
        <v>0</v>
      </c>
      <c r="R436" s="866">
        <f t="shared" si="357"/>
        <v>0</v>
      </c>
      <c r="S436" s="866">
        <f t="shared" si="357"/>
        <v>0</v>
      </c>
      <c r="T436" s="866">
        <f t="shared" si="357"/>
        <v>0</v>
      </c>
      <c r="U436" s="865">
        <f t="shared" si="357"/>
        <v>0</v>
      </c>
      <c r="V436" s="866">
        <f t="shared" si="357"/>
        <v>0</v>
      </c>
      <c r="W436" s="866">
        <f t="shared" si="357"/>
        <v>0</v>
      </c>
      <c r="X436" s="866">
        <f t="shared" si="357"/>
        <v>0</v>
      </c>
      <c r="Y436" s="866">
        <f t="shared" si="357"/>
        <v>0</v>
      </c>
      <c r="Z436" s="865">
        <f t="shared" si="357"/>
        <v>0</v>
      </c>
      <c r="AA436" s="866">
        <f t="shared" si="357"/>
        <v>0</v>
      </c>
      <c r="AB436" s="866">
        <f t="shared" si="357"/>
        <v>0</v>
      </c>
      <c r="AC436" s="866">
        <f t="shared" si="357"/>
        <v>0</v>
      </c>
      <c r="AD436" s="866">
        <f t="shared" si="357"/>
        <v>0</v>
      </c>
      <c r="AE436" s="865">
        <f t="shared" si="357"/>
        <v>0</v>
      </c>
      <c r="AF436" s="866">
        <f t="shared" si="357"/>
        <v>0</v>
      </c>
      <c r="AG436" s="866">
        <f t="shared" si="357"/>
        <v>0</v>
      </c>
      <c r="AH436" s="866">
        <f t="shared" si="357"/>
        <v>0</v>
      </c>
      <c r="AI436" s="866">
        <f t="shared" si="357"/>
        <v>0</v>
      </c>
      <c r="AJ436" s="865">
        <f t="shared" si="357"/>
        <v>0</v>
      </c>
      <c r="AK436" s="866">
        <f t="shared" si="357"/>
        <v>0</v>
      </c>
      <c r="AL436" s="866">
        <f t="shared" si="357"/>
        <v>0</v>
      </c>
      <c r="AM436" s="866">
        <f t="shared" si="357"/>
        <v>0</v>
      </c>
      <c r="AN436" s="866">
        <f t="shared" si="357"/>
        <v>0</v>
      </c>
      <c r="AO436" s="865">
        <f t="shared" si="357"/>
        <v>0</v>
      </c>
      <c r="AP436" s="866">
        <f t="shared" si="357"/>
        <v>0</v>
      </c>
      <c r="AQ436" s="866">
        <f t="shared" si="357"/>
        <v>0</v>
      </c>
      <c r="AR436" s="866">
        <f>AR582+AR580</f>
        <v>0</v>
      </c>
      <c r="AS436" s="866">
        <f>AS582+AS580</f>
        <v>0</v>
      </c>
      <c r="AT436" s="865">
        <f>AT582+AT580</f>
        <v>0</v>
      </c>
      <c r="AU436" s="866">
        <f t="shared" ref="AU436" si="358">AU582+AU580</f>
        <v>0</v>
      </c>
      <c r="AV436" s="866">
        <f>AV582+AV580</f>
        <v>0</v>
      </c>
      <c r="AW436" s="878">
        <f>AW582+AW580</f>
        <v>0</v>
      </c>
      <c r="AX436" s="905">
        <v>0</v>
      </c>
      <c r="AY436" s="864">
        <f>AY582+AY580</f>
        <v>0</v>
      </c>
      <c r="AZ436" s="905">
        <v>0</v>
      </c>
      <c r="BA436" s="905">
        <v>0</v>
      </c>
      <c r="BB436" s="905">
        <v>0</v>
      </c>
      <c r="BC436" s="905">
        <v>0</v>
      </c>
      <c r="BD436" s="864">
        <f>BD582+BD580</f>
        <v>0</v>
      </c>
      <c r="BE436" s="906">
        <v>0</v>
      </c>
      <c r="BF436" s="906">
        <v>0</v>
      </c>
      <c r="BG436" s="906">
        <v>0</v>
      </c>
      <c r="BH436" s="821"/>
    </row>
    <row r="437" spans="1:60" customFormat="1" x14ac:dyDescent="0.25">
      <c r="A437" s="821" t="s">
        <v>117</v>
      </c>
      <c r="B437" s="289"/>
      <c r="C437" s="865">
        <f t="shared" ref="C437:AQ437" si="359">C602</f>
        <v>0</v>
      </c>
      <c r="D437" s="865">
        <f t="shared" si="359"/>
        <v>0</v>
      </c>
      <c r="E437" s="865">
        <f t="shared" si="359"/>
        <v>0</v>
      </c>
      <c r="F437" s="865">
        <f t="shared" si="359"/>
        <v>0</v>
      </c>
      <c r="G437" s="866">
        <f t="shared" si="359"/>
        <v>0</v>
      </c>
      <c r="H437" s="866">
        <f t="shared" si="359"/>
        <v>0</v>
      </c>
      <c r="I437" s="866">
        <f t="shared" si="359"/>
        <v>0</v>
      </c>
      <c r="J437" s="866">
        <f t="shared" si="359"/>
        <v>0</v>
      </c>
      <c r="K437" s="865">
        <f t="shared" si="359"/>
        <v>0</v>
      </c>
      <c r="L437" s="866">
        <f t="shared" si="359"/>
        <v>0</v>
      </c>
      <c r="M437" s="866">
        <f t="shared" si="359"/>
        <v>0</v>
      </c>
      <c r="N437" s="866">
        <f t="shared" si="359"/>
        <v>0</v>
      </c>
      <c r="O437" s="866">
        <f t="shared" si="359"/>
        <v>0</v>
      </c>
      <c r="P437" s="865">
        <f t="shared" si="359"/>
        <v>0</v>
      </c>
      <c r="Q437" s="866">
        <f t="shared" si="359"/>
        <v>0</v>
      </c>
      <c r="R437" s="866">
        <f t="shared" si="359"/>
        <v>0</v>
      </c>
      <c r="S437" s="866">
        <f t="shared" si="359"/>
        <v>0</v>
      </c>
      <c r="T437" s="866">
        <f t="shared" si="359"/>
        <v>0</v>
      </c>
      <c r="U437" s="865">
        <f t="shared" si="359"/>
        <v>0</v>
      </c>
      <c r="V437" s="866">
        <f t="shared" si="359"/>
        <v>0</v>
      </c>
      <c r="W437" s="866">
        <f t="shared" si="359"/>
        <v>0</v>
      </c>
      <c r="X437" s="866">
        <f t="shared" si="359"/>
        <v>0</v>
      </c>
      <c r="Y437" s="866">
        <f t="shared" si="359"/>
        <v>0</v>
      </c>
      <c r="Z437" s="865">
        <f t="shared" si="359"/>
        <v>0</v>
      </c>
      <c r="AA437" s="866">
        <f t="shared" si="359"/>
        <v>0</v>
      </c>
      <c r="AB437" s="866">
        <f t="shared" si="359"/>
        <v>0</v>
      </c>
      <c r="AC437" s="866">
        <f t="shared" si="359"/>
        <v>0</v>
      </c>
      <c r="AD437" s="866">
        <f t="shared" si="359"/>
        <v>0</v>
      </c>
      <c r="AE437" s="865">
        <f t="shared" si="359"/>
        <v>0</v>
      </c>
      <c r="AF437" s="866">
        <f t="shared" si="359"/>
        <v>0</v>
      </c>
      <c r="AG437" s="866">
        <f t="shared" si="359"/>
        <v>0</v>
      </c>
      <c r="AH437" s="866">
        <f t="shared" si="359"/>
        <v>0</v>
      </c>
      <c r="AI437" s="866">
        <f t="shared" si="359"/>
        <v>0</v>
      </c>
      <c r="AJ437" s="865">
        <f t="shared" si="359"/>
        <v>0</v>
      </c>
      <c r="AK437" s="866">
        <f t="shared" si="359"/>
        <v>0</v>
      </c>
      <c r="AL437" s="866">
        <f t="shared" si="359"/>
        <v>0</v>
      </c>
      <c r="AM437" s="866">
        <f t="shared" si="359"/>
        <v>0</v>
      </c>
      <c r="AN437" s="866">
        <f t="shared" si="359"/>
        <v>0</v>
      </c>
      <c r="AO437" s="865">
        <f t="shared" si="359"/>
        <v>0</v>
      </c>
      <c r="AP437" s="866">
        <f t="shared" si="359"/>
        <v>0</v>
      </c>
      <c r="AQ437" s="866">
        <f t="shared" si="359"/>
        <v>0</v>
      </c>
      <c r="AR437" s="866">
        <f>AR602</f>
        <v>0</v>
      </c>
      <c r="AS437" s="866">
        <f>AS602</f>
        <v>0</v>
      </c>
      <c r="AT437" s="865">
        <f>AT602</f>
        <v>0</v>
      </c>
      <c r="AU437" s="866">
        <f t="shared" ref="AU437" si="360">AU602</f>
        <v>0</v>
      </c>
      <c r="AV437" s="866">
        <f>AV602</f>
        <v>0</v>
      </c>
      <c r="AW437" s="878">
        <f>AW602</f>
        <v>0</v>
      </c>
      <c r="AX437" s="867">
        <f ca="1">AX438*-AX425</f>
        <v>0</v>
      </c>
      <c r="AY437" s="864">
        <f ca="1">AY602</f>
        <v>0</v>
      </c>
      <c r="AZ437" s="867">
        <f ca="1">AZ438*-AZ425</f>
        <v>0</v>
      </c>
      <c r="BA437" s="867">
        <f ca="1">BA438*-BA425</f>
        <v>0</v>
      </c>
      <c r="BB437" s="867">
        <f ca="1">BB438*-BB425</f>
        <v>0</v>
      </c>
      <c r="BC437" s="867">
        <f ca="1">BC438*-BC425</f>
        <v>0</v>
      </c>
      <c r="BD437" s="864">
        <f ca="1">BD602</f>
        <v>0</v>
      </c>
      <c r="BE437" s="864">
        <f ca="1">BE438*-BE425</f>
        <v>0</v>
      </c>
      <c r="BF437" s="864">
        <f ca="1">BF438*-BF425</f>
        <v>0</v>
      </c>
      <c r="BG437" s="864">
        <f ca="1">BG438*-BG425</f>
        <v>0</v>
      </c>
      <c r="BH437" s="821"/>
    </row>
    <row r="438" spans="1:60" customFormat="1" x14ac:dyDescent="0.25">
      <c r="A438" s="158" t="s">
        <v>118</v>
      </c>
      <c r="B438" s="516"/>
      <c r="C438" s="44">
        <v>0</v>
      </c>
      <c r="D438" s="44">
        <v>0</v>
      </c>
      <c r="E438" s="44">
        <v>0</v>
      </c>
      <c r="F438" s="44">
        <v>0</v>
      </c>
      <c r="G438" s="86">
        <v>0</v>
      </c>
      <c r="H438" s="86">
        <v>0</v>
      </c>
      <c r="I438" s="86">
        <v>0</v>
      </c>
      <c r="J438" s="86">
        <v>0</v>
      </c>
      <c r="K438" s="44">
        <f>SUM(G438,H438,I438,J438)</f>
        <v>0</v>
      </c>
      <c r="L438" s="86">
        <v>0</v>
      </c>
      <c r="M438" s="86">
        <v>0</v>
      </c>
      <c r="N438" s="86">
        <v>0</v>
      </c>
      <c r="O438" s="86">
        <v>0</v>
      </c>
      <c r="P438" s="44">
        <f>SUM(L438,M438,N438,O438)</f>
        <v>0</v>
      </c>
      <c r="Q438" s="86">
        <v>0</v>
      </c>
      <c r="R438" s="86">
        <v>0</v>
      </c>
      <c r="S438" s="86">
        <v>0</v>
      </c>
      <c r="T438" s="86">
        <v>0</v>
      </c>
      <c r="U438" s="44">
        <f>SUM(Q438,R438,S438,T438)</f>
        <v>0</v>
      </c>
      <c r="V438" s="86">
        <v>0</v>
      </c>
      <c r="W438" s="86">
        <v>0</v>
      </c>
      <c r="X438" s="86">
        <v>0</v>
      </c>
      <c r="Y438" s="86">
        <v>0</v>
      </c>
      <c r="Z438" s="44">
        <f>SUM(V438,W438,X438,Y438)</f>
        <v>0</v>
      </c>
      <c r="AA438" s="86">
        <v>0</v>
      </c>
      <c r="AB438" s="86">
        <v>0</v>
      </c>
      <c r="AC438" s="86">
        <v>0</v>
      </c>
      <c r="AD438" s="86">
        <v>0</v>
      </c>
      <c r="AE438" s="44">
        <f>SUM(AA438,AB438,AC438,AD438)</f>
        <v>0</v>
      </c>
      <c r="AF438" s="86">
        <v>0</v>
      </c>
      <c r="AG438" s="86">
        <v>0</v>
      </c>
      <c r="AH438" s="86">
        <v>0</v>
      </c>
      <c r="AI438" s="86">
        <v>0</v>
      </c>
      <c r="AJ438" s="44">
        <f>SUM(AF438,AG438,AH438,AI438)</f>
        <v>0</v>
      </c>
      <c r="AK438" s="86">
        <v>0</v>
      </c>
      <c r="AL438" s="86">
        <v>0</v>
      </c>
      <c r="AM438" s="86">
        <v>0</v>
      </c>
      <c r="AN438" s="86">
        <v>0</v>
      </c>
      <c r="AO438" s="44">
        <f>SUM(AK438,AL438,AM438,AN438)</f>
        <v>0</v>
      </c>
      <c r="AP438" s="86">
        <v>0</v>
      </c>
      <c r="AQ438" s="86">
        <v>0</v>
      </c>
      <c r="AR438" s="86">
        <v>0</v>
      </c>
      <c r="AS438" s="86">
        <v>0</v>
      </c>
      <c r="AT438" s="44">
        <f>SUM(AP438,AQ438,AR438,AS438)</f>
        <v>0</v>
      </c>
      <c r="AU438" s="86">
        <v>0</v>
      </c>
      <c r="AV438" s="86">
        <v>0</v>
      </c>
      <c r="AW438" s="847">
        <v>0</v>
      </c>
      <c r="AX438" s="190">
        <v>0</v>
      </c>
      <c r="AY438" s="102">
        <f>SUM(AU438,AV438,AW438,AX438)</f>
        <v>0</v>
      </c>
      <c r="AZ438" s="190">
        <v>0</v>
      </c>
      <c r="BA438" s="190">
        <v>0</v>
      </c>
      <c r="BB438" s="190">
        <v>0</v>
      </c>
      <c r="BC438" s="190">
        <v>0</v>
      </c>
      <c r="BD438" s="102">
        <f>SUM(AZ438,BA438,BB438,BC438)</f>
        <v>0</v>
      </c>
      <c r="BE438" s="48">
        <v>0</v>
      </c>
      <c r="BF438" s="48">
        <v>0</v>
      </c>
      <c r="BG438" s="48">
        <v>0</v>
      </c>
      <c r="BH438" s="86"/>
    </row>
    <row r="439" spans="1:60" s="57" customFormat="1" x14ac:dyDescent="0.25">
      <c r="A439" s="517"/>
      <c r="B439" s="516"/>
      <c r="C439" s="102"/>
      <c r="D439" s="102"/>
      <c r="E439" s="102"/>
      <c r="F439" s="102"/>
      <c r="G439" s="475"/>
      <c r="H439" s="475"/>
      <c r="I439" s="475"/>
      <c r="J439" s="475"/>
      <c r="K439" s="102"/>
      <c r="L439" s="475"/>
      <c r="M439" s="475"/>
      <c r="N439" s="475"/>
      <c r="O439" s="475"/>
      <c r="P439" s="102"/>
      <c r="Q439" s="475"/>
      <c r="R439" s="475"/>
      <c r="S439" s="475"/>
      <c r="T439" s="475"/>
      <c r="U439" s="102"/>
      <c r="V439" s="475"/>
      <c r="W439" s="475"/>
      <c r="X439" s="475"/>
      <c r="Y439" s="475"/>
      <c r="Z439" s="102"/>
      <c r="AA439" s="475"/>
      <c r="AB439" s="475"/>
      <c r="AC439" s="475"/>
      <c r="AD439" s="475"/>
      <c r="AE439" s="102"/>
      <c r="AF439" s="475"/>
      <c r="AG439" s="475"/>
      <c r="AH439" s="475"/>
      <c r="AI439" s="475"/>
      <c r="AJ439" s="102"/>
      <c r="AK439" s="475"/>
      <c r="AL439" s="475"/>
      <c r="AM439" s="475"/>
      <c r="AN439" s="475"/>
      <c r="AO439" s="102"/>
      <c r="AP439" s="475"/>
      <c r="AQ439" s="475"/>
      <c r="AR439" s="475"/>
      <c r="AS439" s="475"/>
      <c r="AT439" s="102"/>
      <c r="AU439" s="475"/>
      <c r="AV439" s="475"/>
      <c r="AW439" s="587"/>
      <c r="AX439" s="475"/>
      <c r="AY439" s="102"/>
      <c r="AZ439" s="475"/>
      <c r="BA439" s="475"/>
      <c r="BB439" s="475"/>
      <c r="BC439" s="475"/>
      <c r="BD439" s="102"/>
      <c r="BE439" s="102"/>
      <c r="BF439" s="102"/>
      <c r="BG439" s="102"/>
      <c r="BH439" s="86"/>
    </row>
    <row r="440" spans="1:60" s="57" customFormat="1" x14ac:dyDescent="0.25">
      <c r="A440" s="158" t="s">
        <v>530</v>
      </c>
      <c r="B440" s="516"/>
      <c r="C440" s="865">
        <f t="shared" ref="C440:AQ440" si="361">C599+C598+C596+C595+C593+C603</f>
        <v>-326.51499999999999</v>
      </c>
      <c r="D440" s="865">
        <f t="shared" si="361"/>
        <v>-212.035</v>
      </c>
      <c r="E440" s="865">
        <f t="shared" si="361"/>
        <v>-3.6889999999999947</v>
      </c>
      <c r="F440" s="865">
        <f t="shared" si="361"/>
        <v>-2.319</v>
      </c>
      <c r="G440" s="866">
        <f t="shared" si="361"/>
        <v>280.23500000000001</v>
      </c>
      <c r="H440" s="866">
        <f t="shared" si="361"/>
        <v>-0.255</v>
      </c>
      <c r="I440" s="866">
        <f t="shared" si="361"/>
        <v>-0.25800000000000001</v>
      </c>
      <c r="J440" s="866">
        <f t="shared" si="361"/>
        <v>-0.2639999999999999</v>
      </c>
      <c r="K440" s="865">
        <f t="shared" si="361"/>
        <v>279.45800000000003</v>
      </c>
      <c r="L440" s="866">
        <f t="shared" si="361"/>
        <v>399.733</v>
      </c>
      <c r="M440" s="866">
        <f t="shared" si="361"/>
        <v>-0.27100000000000002</v>
      </c>
      <c r="N440" s="866">
        <f t="shared" si="361"/>
        <v>-0.27499999999999991</v>
      </c>
      <c r="O440" s="866">
        <f t="shared" si="361"/>
        <v>-0.28000000000000003</v>
      </c>
      <c r="P440" s="865">
        <f t="shared" si="361"/>
        <v>398.90699999999998</v>
      </c>
      <c r="Q440" s="866">
        <f t="shared" si="361"/>
        <v>1499.749</v>
      </c>
      <c r="R440" s="866">
        <f t="shared" si="361"/>
        <v>-0.28700000000000003</v>
      </c>
      <c r="S440" s="866">
        <f t="shared" si="361"/>
        <v>-6.0999999999999943E-2</v>
      </c>
      <c r="T440" s="866">
        <f t="shared" si="361"/>
        <v>5.3999999999999937E-2</v>
      </c>
      <c r="U440" s="865">
        <f t="shared" si="361"/>
        <v>1499.4549999999999</v>
      </c>
      <c r="V440" s="866">
        <f t="shared" si="361"/>
        <v>0</v>
      </c>
      <c r="W440" s="866">
        <f t="shared" si="361"/>
        <v>0</v>
      </c>
      <c r="X440" s="866">
        <f t="shared" si="361"/>
        <v>0</v>
      </c>
      <c r="Y440" s="866">
        <f t="shared" si="361"/>
        <v>1000</v>
      </c>
      <c r="Z440" s="865">
        <f t="shared" si="361"/>
        <v>1000</v>
      </c>
      <c r="AA440" s="866">
        <f t="shared" si="361"/>
        <v>0</v>
      </c>
      <c r="AB440" s="866">
        <f t="shared" si="361"/>
        <v>1405.4970000000001</v>
      </c>
      <c r="AC440" s="866">
        <f t="shared" si="361"/>
        <v>15.013</v>
      </c>
      <c r="AD440" s="866">
        <f t="shared" si="361"/>
        <v>1600.0000000000002</v>
      </c>
      <c r="AE440" s="865">
        <f t="shared" si="361"/>
        <v>3020.51</v>
      </c>
      <c r="AF440" s="866">
        <f t="shared" si="361"/>
        <v>0</v>
      </c>
      <c r="AG440" s="866">
        <f t="shared" si="361"/>
        <v>1883.008</v>
      </c>
      <c r="AH440" s="866">
        <f t="shared" si="361"/>
        <v>0</v>
      </c>
      <c r="AI440" s="866">
        <f t="shared" si="361"/>
        <v>2042.973</v>
      </c>
      <c r="AJ440" s="865">
        <f t="shared" si="361"/>
        <v>3925.9809999999998</v>
      </c>
      <c r="AK440" s="866">
        <f t="shared" si="361"/>
        <v>0</v>
      </c>
      <c r="AL440" s="866">
        <f t="shared" si="361"/>
        <v>2225.0039999999999</v>
      </c>
      <c r="AM440" s="866">
        <f t="shared" si="361"/>
        <v>0</v>
      </c>
      <c r="AN440" s="866">
        <f t="shared" si="361"/>
        <v>2208.1679999999997</v>
      </c>
      <c r="AO440" s="865">
        <f t="shared" si="361"/>
        <v>4433.1719999999996</v>
      </c>
      <c r="AP440" s="866">
        <f t="shared" si="361"/>
        <v>0</v>
      </c>
      <c r="AQ440" s="866">
        <f t="shared" si="361"/>
        <v>1001.9050000000001</v>
      </c>
      <c r="AR440" s="866">
        <f>AR599+AR598+AR596+AR595+AR593+AR603</f>
        <v>0</v>
      </c>
      <c r="AS440" s="866">
        <f>AS599+AS598+AS596+AS595+AS593+AS603</f>
        <v>0</v>
      </c>
      <c r="AT440" s="865">
        <f>AT599+AT598+AT596+AT595+AT593+AT603</f>
        <v>1001.9050000000001</v>
      </c>
      <c r="AU440" s="866">
        <f t="shared" ref="AU440" si="362">AU599+AU598+AU596+AU595+AU593+AU603</f>
        <v>-500</v>
      </c>
      <c r="AV440" s="866">
        <f>AV599+AV598+AV596+AV595+AV593+AV603</f>
        <v>0</v>
      </c>
      <c r="AW440" s="878">
        <f>AW599+AW598+AW596+AW595+AW593+AW603</f>
        <v>0</v>
      </c>
      <c r="AX440" s="905">
        <v>0</v>
      </c>
      <c r="AY440" s="864">
        <f>AY599+AY598+AY596+AY595+AY593+AY603</f>
        <v>-500</v>
      </c>
      <c r="AZ440" s="905">
        <v>0</v>
      </c>
      <c r="BA440" s="905">
        <v>0</v>
      </c>
      <c r="BB440" s="905">
        <v>0</v>
      </c>
      <c r="BC440" s="905">
        <v>0</v>
      </c>
      <c r="BD440" s="864">
        <f>BD599+BD598+BD596+BD595+BD593+BD603</f>
        <v>0</v>
      </c>
      <c r="BE440" s="906">
        <v>0</v>
      </c>
      <c r="BF440" s="906">
        <v>0</v>
      </c>
      <c r="BG440" s="906">
        <v>0</v>
      </c>
      <c r="BH440" s="86"/>
    </row>
    <row r="441" spans="1:60" s="57" customFormat="1" x14ac:dyDescent="0.25">
      <c r="A441" s="158" t="s">
        <v>533</v>
      </c>
      <c r="B441" s="516"/>
      <c r="C441" s="865">
        <f t="shared" ref="C441:AQ441" si="363">C601+C597+C594+C592+C591+C600</f>
        <v>241.874</v>
      </c>
      <c r="D441" s="865">
        <f t="shared" si="363"/>
        <v>111.99000000000001</v>
      </c>
      <c r="E441" s="865">
        <f t="shared" si="363"/>
        <v>265.34499999999997</v>
      </c>
      <c r="F441" s="865">
        <f t="shared" si="363"/>
        <v>7.9079999999999995</v>
      </c>
      <c r="G441" s="866">
        <f t="shared" si="363"/>
        <v>41.347000000000001</v>
      </c>
      <c r="H441" s="866">
        <f t="shared" si="363"/>
        <v>49.214000000000006</v>
      </c>
      <c r="I441" s="866">
        <f t="shared" si="363"/>
        <v>46.052999999999997</v>
      </c>
      <c r="J441" s="866">
        <f t="shared" si="363"/>
        <v>60.192</v>
      </c>
      <c r="K441" s="865">
        <f t="shared" si="363"/>
        <v>196.80599999999998</v>
      </c>
      <c r="L441" s="866">
        <f t="shared" si="363"/>
        <v>58.453000000000003</v>
      </c>
      <c r="M441" s="866">
        <f t="shared" si="363"/>
        <v>28.744</v>
      </c>
      <c r="N441" s="866">
        <f t="shared" si="363"/>
        <v>30.936999999999998</v>
      </c>
      <c r="O441" s="866">
        <f t="shared" si="363"/>
        <v>24.670999999999992</v>
      </c>
      <c r="P441" s="865">
        <f t="shared" si="363"/>
        <v>142.80500000000001</v>
      </c>
      <c r="Q441" s="866">
        <f t="shared" si="363"/>
        <v>22.685000000000002</v>
      </c>
      <c r="R441" s="866">
        <f t="shared" si="363"/>
        <v>62.833999999999989</v>
      </c>
      <c r="S441" s="866">
        <f t="shared" si="363"/>
        <v>72.814999999999998</v>
      </c>
      <c r="T441" s="866">
        <f t="shared" si="363"/>
        <v>-17.511999999999986</v>
      </c>
      <c r="U441" s="865">
        <f t="shared" si="363"/>
        <v>140.822</v>
      </c>
      <c r="V441" s="866">
        <f t="shared" si="363"/>
        <v>14.852</v>
      </c>
      <c r="W441" s="866">
        <f t="shared" si="363"/>
        <v>17.555</v>
      </c>
      <c r="X441" s="866">
        <f t="shared" si="363"/>
        <v>16.581000000000003</v>
      </c>
      <c r="Y441" s="866">
        <f t="shared" si="363"/>
        <v>42.411999999999992</v>
      </c>
      <c r="Z441" s="865">
        <f t="shared" si="363"/>
        <v>91.399999999999991</v>
      </c>
      <c r="AA441" s="866">
        <f t="shared" si="363"/>
        <v>24.178000000000001</v>
      </c>
      <c r="AB441" s="866">
        <f t="shared" si="363"/>
        <v>14.825999999999997</v>
      </c>
      <c r="AC441" s="866">
        <f t="shared" si="363"/>
        <v>19.344000000000005</v>
      </c>
      <c r="AD441" s="866">
        <f t="shared" si="363"/>
        <v>-2.1230000000000011</v>
      </c>
      <c r="AE441" s="865">
        <f t="shared" si="363"/>
        <v>56.225000000000001</v>
      </c>
      <c r="AF441" s="866">
        <f t="shared" si="363"/>
        <v>56.335000000000001</v>
      </c>
      <c r="AG441" s="866">
        <f t="shared" si="363"/>
        <v>26.936</v>
      </c>
      <c r="AH441" s="866">
        <f t="shared" si="363"/>
        <v>29.781000000000006</v>
      </c>
      <c r="AI441" s="866">
        <f t="shared" si="363"/>
        <v>11.449999999999989</v>
      </c>
      <c r="AJ441" s="865">
        <f t="shared" si="363"/>
        <v>124.502</v>
      </c>
      <c r="AK441" s="866">
        <f t="shared" si="363"/>
        <v>22.972000000000001</v>
      </c>
      <c r="AL441" s="866">
        <f t="shared" si="363"/>
        <v>21.896000000000001</v>
      </c>
      <c r="AM441" s="866">
        <f t="shared" si="363"/>
        <v>11.988999999999997</v>
      </c>
      <c r="AN441" s="866">
        <f t="shared" si="363"/>
        <v>15.632999999999996</v>
      </c>
      <c r="AO441" s="865">
        <f t="shared" si="363"/>
        <v>72.489999999999995</v>
      </c>
      <c r="AP441" s="866">
        <f t="shared" si="363"/>
        <v>43.694000000000003</v>
      </c>
      <c r="AQ441" s="866">
        <f t="shared" si="363"/>
        <v>89.059999999999988</v>
      </c>
      <c r="AR441" s="866">
        <f>AR601+AR597+AR594+AR592+AR591+AR600</f>
        <v>68.66500000000002</v>
      </c>
      <c r="AS441" s="866">
        <f>AS601+AS597+AS594+AS592+AS591+AS600</f>
        <v>33.986999999999995</v>
      </c>
      <c r="AT441" s="865">
        <f>AT601+AT597+AT594+AT592+AT591+AT600</f>
        <v>235.40600000000001</v>
      </c>
      <c r="AU441" s="866">
        <f t="shared" ref="AU441" si="364">AU601+AU597+AU594+AU592+AU591+AU600</f>
        <v>48.070999999999998</v>
      </c>
      <c r="AV441" s="866">
        <f>AV601+AV597+AV594+AV592+AV591+AV600</f>
        <v>-480.27300000000002</v>
      </c>
      <c r="AW441" s="878">
        <f>AW601+AW597+AW594+AW592+AW591+AW600</f>
        <v>-81.555000000000049</v>
      </c>
      <c r="AX441" s="905">
        <v>0</v>
      </c>
      <c r="AY441" s="864">
        <f>AY601+AY597+AY594+AY592+AY591+AY600</f>
        <v>-513.75700000000006</v>
      </c>
      <c r="AZ441" s="905">
        <v>0</v>
      </c>
      <c r="BA441" s="905">
        <v>0</v>
      </c>
      <c r="BB441" s="905">
        <v>0</v>
      </c>
      <c r="BC441" s="905">
        <v>0</v>
      </c>
      <c r="BD441" s="864">
        <f>BD601+BD597+BD594+BD592+BD591+BD600</f>
        <v>0</v>
      </c>
      <c r="BE441" s="906">
        <v>0</v>
      </c>
      <c r="BF441" s="906">
        <v>0</v>
      </c>
      <c r="BG441" s="906">
        <v>0</v>
      </c>
      <c r="BH441" s="86"/>
    </row>
    <row r="442" spans="1:60" s="57" customFormat="1" x14ac:dyDescent="0.25">
      <c r="A442" s="426" t="s">
        <v>534</v>
      </c>
      <c r="B442" s="518"/>
      <c r="C442" s="321"/>
      <c r="D442" s="321"/>
      <c r="E442" s="321"/>
      <c r="F442" s="321"/>
      <c r="G442" s="476"/>
      <c r="H442" s="476"/>
      <c r="I442" s="476"/>
      <c r="J442" s="476"/>
      <c r="K442" s="321"/>
      <c r="L442" s="476"/>
      <c r="M442" s="476"/>
      <c r="N442" s="476"/>
      <c r="O442" s="476"/>
      <c r="P442" s="321"/>
      <c r="Q442" s="476"/>
      <c r="R442" s="476"/>
      <c r="S442" s="476"/>
      <c r="T442" s="476"/>
      <c r="U442" s="321"/>
      <c r="V442" s="476"/>
      <c r="W442" s="476"/>
      <c r="X442" s="476"/>
      <c r="Y442" s="476"/>
      <c r="Z442" s="321"/>
      <c r="AA442" s="476"/>
      <c r="AB442" s="476"/>
      <c r="AC442" s="476"/>
      <c r="AD442" s="476"/>
      <c r="AE442" s="321"/>
      <c r="AF442" s="476"/>
      <c r="AG442" s="476"/>
      <c r="AH442" s="476"/>
      <c r="AI442" s="476"/>
      <c r="AJ442" s="321"/>
      <c r="AK442" s="476"/>
      <c r="AL442" s="476"/>
      <c r="AM442" s="476"/>
      <c r="AN442" s="476"/>
      <c r="AO442" s="321"/>
      <c r="AP442" s="476"/>
      <c r="AQ442" s="476"/>
      <c r="AR442" s="476"/>
      <c r="AS442" s="476"/>
      <c r="AT442" s="321"/>
      <c r="AU442" s="476"/>
      <c r="AV442" s="476"/>
      <c r="AW442" s="588"/>
      <c r="AX442" s="427">
        <v>653</v>
      </c>
      <c r="AY442" s="321">
        <f>AVERAGE(AU442,AV442,AW442,AX442)</f>
        <v>653</v>
      </c>
      <c r="AZ442" s="427">
        <v>718</v>
      </c>
      <c r="BA442" s="427">
        <v>718</v>
      </c>
      <c r="BB442" s="427">
        <v>718</v>
      </c>
      <c r="BC442" s="427">
        <v>718</v>
      </c>
      <c r="BD442" s="321">
        <f>AVERAGE(AZ442,BA442,BB442,BC442)</f>
        <v>718</v>
      </c>
      <c r="BE442" s="428">
        <v>790</v>
      </c>
      <c r="BF442" s="428">
        <v>869</v>
      </c>
      <c r="BG442" s="428">
        <v>956</v>
      </c>
      <c r="BH442" s="86"/>
    </row>
    <row r="443" spans="1:60" customFormat="1" x14ac:dyDescent="0.25">
      <c r="A443" s="836"/>
      <c r="B443" s="837"/>
      <c r="C443" s="900"/>
      <c r="D443" s="900"/>
      <c r="E443" s="900"/>
      <c r="F443" s="900"/>
      <c r="G443" s="901"/>
      <c r="H443" s="901"/>
      <c r="I443" s="901"/>
      <c r="J443" s="901"/>
      <c r="K443" s="900"/>
      <c r="L443" s="901"/>
      <c r="M443" s="901"/>
      <c r="N443" s="901"/>
      <c r="O443" s="901"/>
      <c r="P443" s="900"/>
      <c r="Q443" s="901"/>
      <c r="R443" s="901"/>
      <c r="S443" s="901"/>
      <c r="T443" s="901"/>
      <c r="U443" s="900"/>
      <c r="V443" s="901"/>
      <c r="W443" s="901"/>
      <c r="X443" s="901"/>
      <c r="Y443" s="901"/>
      <c r="Z443" s="900"/>
      <c r="AA443" s="901"/>
      <c r="AB443" s="901"/>
      <c r="AC443" s="901"/>
      <c r="AD443" s="901"/>
      <c r="AE443" s="900"/>
      <c r="AF443" s="901"/>
      <c r="AG443" s="901"/>
      <c r="AH443" s="901"/>
      <c r="AI443" s="901"/>
      <c r="AJ443" s="900"/>
      <c r="AK443" s="901"/>
      <c r="AL443" s="901"/>
      <c r="AM443" s="901"/>
      <c r="AN443" s="901"/>
      <c r="AO443" s="900"/>
      <c r="AP443" s="901"/>
      <c r="AQ443" s="901"/>
      <c r="AR443" s="901"/>
      <c r="AS443" s="901"/>
      <c r="AT443" s="900"/>
      <c r="AU443" s="901"/>
      <c r="AV443" s="901"/>
      <c r="AW443" s="903"/>
      <c r="AX443" s="901"/>
      <c r="AY443" s="900"/>
      <c r="AZ443" s="901"/>
      <c r="BA443" s="901"/>
      <c r="BB443" s="901"/>
      <c r="BC443" s="901"/>
      <c r="BD443" s="900"/>
      <c r="BE443" s="900"/>
      <c r="BF443" s="900"/>
      <c r="BG443" s="900"/>
      <c r="BH443" s="459"/>
    </row>
    <row r="444" spans="1:60" s="420" customFormat="1" x14ac:dyDescent="0.25">
      <c r="A444" s="794" t="s">
        <v>726</v>
      </c>
      <c r="B444" s="289"/>
      <c r="C444" s="864">
        <f t="shared" ref="C444:AV444" si="365">C561</f>
        <v>12.618</v>
      </c>
      <c r="D444" s="864">
        <f t="shared" si="365"/>
        <v>27.995999999999999</v>
      </c>
      <c r="E444" s="864">
        <f t="shared" si="365"/>
        <v>61.582000000000001</v>
      </c>
      <c r="F444" s="864">
        <f t="shared" si="365"/>
        <v>73.947999999999993</v>
      </c>
      <c r="G444" s="867">
        <f t="shared" si="365"/>
        <v>17.745999999999999</v>
      </c>
      <c r="H444" s="867">
        <f t="shared" si="365"/>
        <v>17.955000000000002</v>
      </c>
      <c r="I444" s="867">
        <f t="shared" si="365"/>
        <v>18.476999999999997</v>
      </c>
      <c r="J444" s="867">
        <f t="shared" si="365"/>
        <v>18.921999999999997</v>
      </c>
      <c r="K444" s="864">
        <f t="shared" si="365"/>
        <v>73.099999999999994</v>
      </c>
      <c r="L444" s="867">
        <f t="shared" si="365"/>
        <v>25.824999999999999</v>
      </c>
      <c r="M444" s="867">
        <f t="shared" si="365"/>
        <v>29.285</v>
      </c>
      <c r="N444" s="867">
        <f t="shared" si="365"/>
        <v>29.878</v>
      </c>
      <c r="O444" s="867">
        <f t="shared" si="365"/>
        <v>30.251000000000005</v>
      </c>
      <c r="P444" s="864">
        <f t="shared" si="365"/>
        <v>115.239</v>
      </c>
      <c r="Q444" s="867">
        <f t="shared" si="365"/>
        <v>27.440999999999999</v>
      </c>
      <c r="R444" s="867">
        <f t="shared" si="365"/>
        <v>28.59</v>
      </c>
      <c r="S444" s="867">
        <f t="shared" si="365"/>
        <v>32.833999999999996</v>
      </c>
      <c r="T444" s="867">
        <f t="shared" si="365"/>
        <v>35.86</v>
      </c>
      <c r="U444" s="864">
        <f t="shared" si="365"/>
        <v>124.72499999999999</v>
      </c>
      <c r="V444" s="867">
        <f t="shared" si="365"/>
        <v>42.421999999999997</v>
      </c>
      <c r="W444" s="867">
        <f t="shared" si="365"/>
        <v>44.112000000000009</v>
      </c>
      <c r="X444" s="867">
        <f t="shared" si="365"/>
        <v>43.49499999999999</v>
      </c>
      <c r="Y444" s="867">
        <f t="shared" si="365"/>
        <v>43.646000000000015</v>
      </c>
      <c r="Z444" s="864">
        <f t="shared" si="365"/>
        <v>173.67500000000001</v>
      </c>
      <c r="AA444" s="867">
        <f t="shared" si="365"/>
        <v>44.887999999999998</v>
      </c>
      <c r="AB444" s="867">
        <f t="shared" si="365"/>
        <v>44.027999999999999</v>
      </c>
      <c r="AC444" s="867">
        <f t="shared" si="365"/>
        <v>44.763000000000005</v>
      </c>
      <c r="AD444" s="867">
        <f t="shared" si="365"/>
        <v>48.53</v>
      </c>
      <c r="AE444" s="864">
        <f t="shared" si="365"/>
        <v>182.209</v>
      </c>
      <c r="AF444" s="867">
        <f t="shared" si="365"/>
        <v>68.394999999999996</v>
      </c>
      <c r="AG444" s="867">
        <f t="shared" si="365"/>
        <v>81.232000000000014</v>
      </c>
      <c r="AH444" s="867">
        <f t="shared" si="365"/>
        <v>82.316000000000003</v>
      </c>
      <c r="AI444" s="867">
        <f t="shared" si="365"/>
        <v>88.71399999999997</v>
      </c>
      <c r="AJ444" s="864">
        <f t="shared" si="365"/>
        <v>320.65699999999998</v>
      </c>
      <c r="AK444" s="867">
        <f t="shared" si="365"/>
        <v>101.2</v>
      </c>
      <c r="AL444" s="867">
        <f t="shared" si="365"/>
        <v>103.848</v>
      </c>
      <c r="AM444" s="867">
        <f t="shared" si="365"/>
        <v>100.262</v>
      </c>
      <c r="AN444" s="867">
        <f t="shared" si="365"/>
        <v>100.06599999999997</v>
      </c>
      <c r="AO444" s="864">
        <f t="shared" si="365"/>
        <v>405.37599999999998</v>
      </c>
      <c r="AP444" s="867">
        <f t="shared" si="365"/>
        <v>97.019000000000005</v>
      </c>
      <c r="AQ444" s="867">
        <f t="shared" si="365"/>
        <v>104.21000000000001</v>
      </c>
      <c r="AR444" s="867">
        <f t="shared" si="365"/>
        <v>106.357</v>
      </c>
      <c r="AS444" s="867">
        <f t="shared" si="365"/>
        <v>107.59399999999999</v>
      </c>
      <c r="AT444" s="864">
        <f t="shared" si="365"/>
        <v>415.18</v>
      </c>
      <c r="AU444" s="867">
        <f t="shared" si="365"/>
        <v>107.23</v>
      </c>
      <c r="AV444" s="867">
        <f t="shared" si="365"/>
        <v>101.58299999999998</v>
      </c>
      <c r="AW444" s="868">
        <f>AW561</f>
        <v>95.078000000000031</v>
      </c>
      <c r="AX444" s="867">
        <f>AX379*AX445</f>
        <v>100.40314235203201</v>
      </c>
      <c r="AY444" s="864">
        <f>SUM(AU444,AV444,AW444,AX444)</f>
        <v>404.29414235203205</v>
      </c>
      <c r="AZ444" s="867">
        <f t="shared" ref="AZ444:BC444" si="366">AZ379*AZ445</f>
        <v>103.97265755020493</v>
      </c>
      <c r="BA444" s="867">
        <f t="shared" si="366"/>
        <v>106.94955753962445</v>
      </c>
      <c r="BB444" s="867">
        <f t="shared" si="366"/>
        <v>110.03630461734542</v>
      </c>
      <c r="BC444" s="867">
        <f t="shared" si="366"/>
        <v>113.31290830429202</v>
      </c>
      <c r="BD444" s="864">
        <f>SUM(AZ444,BA444,BB444,BC444)</f>
        <v>434.27142801146681</v>
      </c>
      <c r="BE444" s="864">
        <f t="shared" ref="BE444:BG444" si="367">BE379*BE445</f>
        <v>490.10913821209419</v>
      </c>
      <c r="BF444" s="864">
        <f t="shared" si="367"/>
        <v>557.87856939670883</v>
      </c>
      <c r="BG444" s="864">
        <f t="shared" si="367"/>
        <v>636.48096995325886</v>
      </c>
      <c r="BH444" s="821"/>
    </row>
    <row r="445" spans="1:60" s="416" customFormat="1" x14ac:dyDescent="0.25">
      <c r="A445" s="162" t="s">
        <v>727</v>
      </c>
      <c r="B445" s="183"/>
      <c r="C445" s="796">
        <f t="shared" ref="C445:AV445" si="368">C444/C379</f>
        <v>7.5544717647277179E-3</v>
      </c>
      <c r="D445" s="796">
        <f t="shared" si="368"/>
        <v>1.2945378879833535E-2</v>
      </c>
      <c r="E445" s="796">
        <f t="shared" si="368"/>
        <v>1.921688884367578E-2</v>
      </c>
      <c r="F445" s="796">
        <f t="shared" si="368"/>
        <v>2.0488285481710763E-2</v>
      </c>
      <c r="G445" s="163">
        <f t="shared" si="368"/>
        <v>1.7330738182411244E-2</v>
      </c>
      <c r="H445" s="163">
        <f t="shared" si="368"/>
        <v>1.6790228283515934E-2</v>
      </c>
      <c r="I445" s="163">
        <f t="shared" si="368"/>
        <v>1.6706163387127833E-2</v>
      </c>
      <c r="J445" s="163">
        <f t="shared" si="368"/>
        <v>1.6100678165125133E-2</v>
      </c>
      <c r="K445" s="796">
        <f t="shared" si="368"/>
        <v>1.6710244362749916E-2</v>
      </c>
      <c r="L445" s="163">
        <f t="shared" si="368"/>
        <v>2.0333220742798339E-2</v>
      </c>
      <c r="M445" s="163">
        <f t="shared" si="368"/>
        <v>2.1847841737621485E-2</v>
      </c>
      <c r="N445" s="163">
        <f t="shared" si="368"/>
        <v>2.1198610504089589E-2</v>
      </c>
      <c r="O445" s="163">
        <f t="shared" si="368"/>
        <v>2.0374775716494879E-2</v>
      </c>
      <c r="P445" s="796">
        <f t="shared" si="368"/>
        <v>2.0934823175144824E-2</v>
      </c>
      <c r="Q445" s="163">
        <f t="shared" si="368"/>
        <v>1.7443579007188858E-2</v>
      </c>
      <c r="R445" s="163">
        <f t="shared" si="368"/>
        <v>1.7383172796885015E-2</v>
      </c>
      <c r="S445" s="163">
        <f t="shared" si="368"/>
        <v>1.8887971674370306E-2</v>
      </c>
      <c r="T445" s="163">
        <f t="shared" si="368"/>
        <v>1.9667279646669034E-2</v>
      </c>
      <c r="U445" s="796">
        <f t="shared" si="368"/>
        <v>1.8397344587242351E-2</v>
      </c>
      <c r="V445" s="163">
        <f t="shared" si="368"/>
        <v>2.1668907350122793E-2</v>
      </c>
      <c r="W445" s="163">
        <f t="shared" si="368"/>
        <v>2.0953788801465322E-2</v>
      </c>
      <c r="X445" s="163">
        <f t="shared" si="368"/>
        <v>1.899189062207993E-2</v>
      </c>
      <c r="Y445" s="163">
        <f t="shared" si="368"/>
        <v>1.7616661036083774E-2</v>
      </c>
      <c r="Z445" s="796">
        <f t="shared" si="368"/>
        <v>1.9667252843470866E-2</v>
      </c>
      <c r="AA445" s="163">
        <f t="shared" si="368"/>
        <v>1.7024730385510316E-2</v>
      </c>
      <c r="AB445" s="163">
        <f t="shared" si="368"/>
        <v>1.5806343216067411E-2</v>
      </c>
      <c r="AC445" s="163">
        <f t="shared" si="368"/>
        <v>1.4996688285778326E-2</v>
      </c>
      <c r="AD445" s="163">
        <f t="shared" si="368"/>
        <v>1.4769816982702608E-2</v>
      </c>
      <c r="AE445" s="796">
        <f t="shared" si="368"/>
        <v>1.5583124292882243E-2</v>
      </c>
      <c r="AF445" s="163">
        <f t="shared" si="368"/>
        <v>1.848085956330103E-2</v>
      </c>
      <c r="AG445" s="163">
        <f t="shared" si="368"/>
        <v>2.0789963324776638E-2</v>
      </c>
      <c r="AH445" s="163">
        <f t="shared" si="368"/>
        <v>2.0582221117604906E-2</v>
      </c>
      <c r="AI445" s="163">
        <f t="shared" si="368"/>
        <v>2.1188767378555805E-2</v>
      </c>
      <c r="AJ445" s="796">
        <f t="shared" si="368"/>
        <v>2.0302018298832474E-2</v>
      </c>
      <c r="AK445" s="163">
        <f t="shared" si="368"/>
        <v>2.2384467833608198E-2</v>
      </c>
      <c r="AL445" s="163">
        <f t="shared" si="368"/>
        <v>2.1093957566711813E-2</v>
      </c>
      <c r="AM445" s="163">
        <f t="shared" si="368"/>
        <v>1.9116075505657398E-2</v>
      </c>
      <c r="AN445" s="163">
        <f t="shared" si="368"/>
        <v>1.83021870954455E-2</v>
      </c>
      <c r="AO445" s="796">
        <f t="shared" si="368"/>
        <v>2.0111480956936507E-2</v>
      </c>
      <c r="AP445" s="163">
        <f t="shared" si="368"/>
        <v>1.6821116110415764E-2</v>
      </c>
      <c r="AQ445" s="163">
        <f t="shared" si="368"/>
        <v>1.6949439242091212E-2</v>
      </c>
      <c r="AR445" s="163">
        <f t="shared" si="368"/>
        <v>1.6526258395245103E-2</v>
      </c>
      <c r="AS445" s="163">
        <f t="shared" si="368"/>
        <v>1.619308288039838E-2</v>
      </c>
      <c r="AT445" s="796">
        <f t="shared" si="368"/>
        <v>1.6609820365260822E-2</v>
      </c>
      <c r="AU445" s="163">
        <f t="shared" si="368"/>
        <v>1.4969395313488985E-2</v>
      </c>
      <c r="AV445" s="163">
        <f t="shared" si="368"/>
        <v>1.3836296035687271E-2</v>
      </c>
      <c r="AW445" s="637">
        <f>AW444/AW379</f>
        <v>1.2705073731199728E-2</v>
      </c>
      <c r="AX445" s="653">
        <v>1.2999999999999999E-2</v>
      </c>
      <c r="AY445" s="796">
        <f>AY444/AY379</f>
        <v>1.3607170716496583E-2</v>
      </c>
      <c r="AZ445" s="653">
        <v>1.2999999999999999E-2</v>
      </c>
      <c r="BA445" s="653">
        <v>1.2999999999999999E-2</v>
      </c>
      <c r="BB445" s="653">
        <v>1.2999999999999999E-2</v>
      </c>
      <c r="BC445" s="653">
        <v>1.2999999999999999E-2</v>
      </c>
      <c r="BD445" s="796">
        <f>BD444/BD379</f>
        <v>1.2999999999999999E-2</v>
      </c>
      <c r="BE445" s="795">
        <v>1.2999999999999999E-2</v>
      </c>
      <c r="BF445" s="795">
        <v>1.2999999999999999E-2</v>
      </c>
      <c r="BG445" s="795">
        <v>1.2999999999999999E-2</v>
      </c>
      <c r="BH445" s="648"/>
    </row>
    <row r="446" spans="1:60" s="57" customFormat="1" x14ac:dyDescent="0.25">
      <c r="A446" s="836"/>
      <c r="B446" s="837"/>
      <c r="C446" s="900"/>
      <c r="D446" s="900"/>
      <c r="E446" s="900"/>
      <c r="F446" s="900"/>
      <c r="G446" s="901"/>
      <c r="H446" s="901"/>
      <c r="I446" s="901"/>
      <c r="J446" s="901"/>
      <c r="K446" s="900"/>
      <c r="L446" s="901"/>
      <c r="M446" s="901"/>
      <c r="N446" s="901"/>
      <c r="O446" s="901"/>
      <c r="P446" s="900"/>
      <c r="Q446" s="901"/>
      <c r="R446" s="901"/>
      <c r="S446" s="901"/>
      <c r="T446" s="901"/>
      <c r="U446" s="900"/>
      <c r="V446" s="901"/>
      <c r="W446" s="901"/>
      <c r="X446" s="901"/>
      <c r="Y446" s="901"/>
      <c r="Z446" s="900"/>
      <c r="AA446" s="901"/>
      <c r="AB446" s="901"/>
      <c r="AC446" s="901"/>
      <c r="AD446" s="901"/>
      <c r="AE446" s="900"/>
      <c r="AF446" s="901"/>
      <c r="AG446" s="901"/>
      <c r="AH446" s="901"/>
      <c r="AI446" s="901"/>
      <c r="AJ446" s="900"/>
      <c r="AK446" s="901"/>
      <c r="AL446" s="901"/>
      <c r="AM446" s="901"/>
      <c r="AN446" s="901"/>
      <c r="AO446" s="900"/>
      <c r="AP446" s="901"/>
      <c r="AQ446" s="901"/>
      <c r="AR446" s="901"/>
      <c r="AS446" s="901"/>
      <c r="AT446" s="900"/>
      <c r="AU446" s="901"/>
      <c r="AV446" s="901"/>
      <c r="AW446" s="903"/>
      <c r="AX446" s="901"/>
      <c r="AY446" s="900"/>
      <c r="AZ446" s="901"/>
      <c r="BA446" s="901"/>
      <c r="BB446" s="901"/>
      <c r="BC446" s="901"/>
      <c r="BD446" s="900"/>
      <c r="BE446" s="900"/>
      <c r="BF446" s="900"/>
      <c r="BG446" s="900"/>
      <c r="BH446" s="459"/>
    </row>
    <row r="447" spans="1:60" customFormat="1" x14ac:dyDescent="0.25">
      <c r="A447" s="821" t="s">
        <v>119</v>
      </c>
      <c r="B447" s="289"/>
      <c r="C447" s="865">
        <f t="shared" ref="C447:AH447" si="369">C430+C433</f>
        <v>63.505999999999972</v>
      </c>
      <c r="D447" s="865">
        <f t="shared" si="369"/>
        <v>59.523000000000025</v>
      </c>
      <c r="E447" s="865">
        <f t="shared" si="369"/>
        <v>67.283000000000158</v>
      </c>
      <c r="F447" s="865">
        <f t="shared" si="369"/>
        <v>-91.792999999999807</v>
      </c>
      <c r="G447" s="866">
        <f t="shared" si="369"/>
        <v>-70.573000000000022</v>
      </c>
      <c r="H447" s="866">
        <f t="shared" si="369"/>
        <v>-42.089999999999954</v>
      </c>
      <c r="I447" s="866">
        <f t="shared" si="369"/>
        <v>17.347000000000182</v>
      </c>
      <c r="J447" s="866">
        <f t="shared" si="369"/>
        <v>-46.789999999999829</v>
      </c>
      <c r="K447" s="865">
        <f t="shared" si="369"/>
        <v>-142.10599999999994</v>
      </c>
      <c r="L447" s="866">
        <f t="shared" si="369"/>
        <v>-70.863999999999947</v>
      </c>
      <c r="M447" s="866">
        <f t="shared" si="369"/>
        <v>-34.510999999999981</v>
      </c>
      <c r="N447" s="866">
        <f t="shared" si="369"/>
        <v>-109.93300000000011</v>
      </c>
      <c r="O447" s="866">
        <f t="shared" si="369"/>
        <v>-49.82799999999969</v>
      </c>
      <c r="P447" s="865">
        <f t="shared" si="369"/>
        <v>-265.13599999999991</v>
      </c>
      <c r="Q447" s="866">
        <f t="shared" si="369"/>
        <v>-244.27199999999996</v>
      </c>
      <c r="R447" s="866">
        <f t="shared" si="369"/>
        <v>-252.90499999999997</v>
      </c>
      <c r="S447" s="866">
        <f t="shared" si="369"/>
        <v>-344.51800000000003</v>
      </c>
      <c r="T447" s="866">
        <f t="shared" si="369"/>
        <v>-249.83699999999996</v>
      </c>
      <c r="U447" s="865">
        <f t="shared" si="369"/>
        <v>-1091.5319999999997</v>
      </c>
      <c r="V447" s="866">
        <f t="shared" si="369"/>
        <v>-293.83000000000038</v>
      </c>
      <c r="W447" s="866">
        <f t="shared" si="369"/>
        <v>-309.76599999999928</v>
      </c>
      <c r="X447" s="866">
        <f t="shared" si="369"/>
        <v>-592.73800000000051</v>
      </c>
      <c r="Y447" s="867">
        <f t="shared" si="369"/>
        <v>-654.86000000000058</v>
      </c>
      <c r="Z447" s="864">
        <f t="shared" si="369"/>
        <v>-1851.1940000000009</v>
      </c>
      <c r="AA447" s="866">
        <f t="shared" si="369"/>
        <v>-502.96199999999999</v>
      </c>
      <c r="AB447" s="866">
        <f t="shared" si="369"/>
        <v>-471.86500000000069</v>
      </c>
      <c r="AC447" s="866">
        <f t="shared" si="369"/>
        <v>-555.82099999999969</v>
      </c>
      <c r="AD447" s="867">
        <f t="shared" si="369"/>
        <v>-541.29900000000055</v>
      </c>
      <c r="AE447" s="864">
        <f t="shared" si="369"/>
        <v>-2071.947000000001</v>
      </c>
      <c r="AF447" s="866">
        <f t="shared" si="369"/>
        <v>-491.04999999999927</v>
      </c>
      <c r="AG447" s="866">
        <f t="shared" si="369"/>
        <v>-551.86200000000008</v>
      </c>
      <c r="AH447" s="866">
        <f t="shared" si="369"/>
        <v>-830.03599999999983</v>
      </c>
      <c r="AI447" s="867">
        <f t="shared" ref="AI447:AY447" si="370">AI430+AI433</f>
        <v>-1313.8300000000002</v>
      </c>
      <c r="AJ447" s="864">
        <f t="shared" si="370"/>
        <v>-3186.7780000000007</v>
      </c>
      <c r="AK447" s="866">
        <f t="shared" si="370"/>
        <v>-493.76099999999963</v>
      </c>
      <c r="AL447" s="866">
        <f t="shared" si="370"/>
        <v>-595.49200000000064</v>
      </c>
      <c r="AM447" s="866">
        <f t="shared" si="370"/>
        <v>-782.94099999999889</v>
      </c>
      <c r="AN447" s="867">
        <f t="shared" si="370"/>
        <v>-1311.2060000000022</v>
      </c>
      <c r="AO447" s="864">
        <f t="shared" si="370"/>
        <v>-3183.4000000000028</v>
      </c>
      <c r="AP447" s="866">
        <f t="shared" si="370"/>
        <v>203.65000000000032</v>
      </c>
      <c r="AQ447" s="866">
        <f t="shared" si="370"/>
        <v>1110.0409999999999</v>
      </c>
      <c r="AR447" s="866">
        <f>AR430+AR433</f>
        <v>808.27800000000082</v>
      </c>
      <c r="AS447" s="867">
        <f>AS430+AS433</f>
        <v>-160.94200000000072</v>
      </c>
      <c r="AT447" s="864">
        <f>AT430+AT433</f>
        <v>1961.0269999999998</v>
      </c>
      <c r="AU447" s="866">
        <f t="shared" ref="AU447" si="371">AU430+AU433</f>
        <v>916.32499999999982</v>
      </c>
      <c r="AV447" s="866">
        <f>AV430+AV433</f>
        <v>2.9009999999997262</v>
      </c>
      <c r="AW447" s="878">
        <f>AW430+AW433</f>
        <v>-268.66700000000083</v>
      </c>
      <c r="AX447" s="867">
        <f t="shared" si="370"/>
        <v>171.5603459323691</v>
      </c>
      <c r="AY447" s="864">
        <f t="shared" si="370"/>
        <v>822.1193459323672</v>
      </c>
      <c r="AZ447" s="867">
        <f t="shared" ref="AZ447:BG447" ca="1" si="372">AZ430+AZ433</f>
        <v>1036.6384881714866</v>
      </c>
      <c r="BA447" s="867">
        <f t="shared" ca="1" si="372"/>
        <v>1060.0774344260517</v>
      </c>
      <c r="BB447" s="867">
        <f t="shared" ca="1" si="372"/>
        <v>1192.8979589021146</v>
      </c>
      <c r="BC447" s="867">
        <f t="shared" ca="1" si="372"/>
        <v>762.27079863117058</v>
      </c>
      <c r="BD447" s="864">
        <f t="shared" ca="1" si="372"/>
        <v>4051.8846801308237</v>
      </c>
      <c r="BE447" s="864">
        <f t="shared" ca="1" si="372"/>
        <v>6467.4865262580552</v>
      </c>
      <c r="BF447" s="864">
        <f t="shared" ca="1" si="372"/>
        <v>9463.1226361945191</v>
      </c>
      <c r="BG447" s="864">
        <f t="shared" ca="1" si="372"/>
        <v>12822.66613696791</v>
      </c>
      <c r="BH447" s="821"/>
    </row>
    <row r="448" spans="1:60" customFormat="1" x14ac:dyDescent="0.25">
      <c r="A448" s="821" t="s">
        <v>120</v>
      </c>
      <c r="B448" s="289"/>
      <c r="C448" s="865">
        <f t="shared" ref="C448:AH448" si="373">C447+C437</f>
        <v>63.505999999999972</v>
      </c>
      <c r="D448" s="865">
        <f t="shared" si="373"/>
        <v>59.523000000000025</v>
      </c>
      <c r="E448" s="865">
        <f t="shared" si="373"/>
        <v>67.283000000000158</v>
      </c>
      <c r="F448" s="865">
        <f t="shared" si="373"/>
        <v>-91.792999999999807</v>
      </c>
      <c r="G448" s="866">
        <f t="shared" si="373"/>
        <v>-70.573000000000022</v>
      </c>
      <c r="H448" s="866">
        <f t="shared" si="373"/>
        <v>-42.089999999999954</v>
      </c>
      <c r="I448" s="866">
        <f t="shared" si="373"/>
        <v>17.347000000000182</v>
      </c>
      <c r="J448" s="866">
        <f t="shared" si="373"/>
        <v>-46.789999999999829</v>
      </c>
      <c r="K448" s="865">
        <f t="shared" si="373"/>
        <v>-142.10599999999994</v>
      </c>
      <c r="L448" s="866">
        <f t="shared" si="373"/>
        <v>-70.863999999999947</v>
      </c>
      <c r="M448" s="866">
        <f t="shared" si="373"/>
        <v>-34.510999999999981</v>
      </c>
      <c r="N448" s="866">
        <f t="shared" si="373"/>
        <v>-109.93300000000011</v>
      </c>
      <c r="O448" s="866">
        <f t="shared" si="373"/>
        <v>-49.82799999999969</v>
      </c>
      <c r="P448" s="865">
        <f t="shared" si="373"/>
        <v>-265.13599999999991</v>
      </c>
      <c r="Q448" s="866">
        <f t="shared" si="373"/>
        <v>-244.27199999999996</v>
      </c>
      <c r="R448" s="866">
        <f t="shared" si="373"/>
        <v>-252.90499999999997</v>
      </c>
      <c r="S448" s="866">
        <f t="shared" si="373"/>
        <v>-344.51800000000003</v>
      </c>
      <c r="T448" s="866">
        <f t="shared" si="373"/>
        <v>-249.83699999999996</v>
      </c>
      <c r="U448" s="865">
        <f t="shared" si="373"/>
        <v>-1091.5319999999997</v>
      </c>
      <c r="V448" s="866">
        <f t="shared" si="373"/>
        <v>-293.83000000000038</v>
      </c>
      <c r="W448" s="866">
        <f t="shared" si="373"/>
        <v>-309.76599999999928</v>
      </c>
      <c r="X448" s="866">
        <f t="shared" si="373"/>
        <v>-592.73800000000051</v>
      </c>
      <c r="Y448" s="867">
        <f t="shared" si="373"/>
        <v>-654.86000000000058</v>
      </c>
      <c r="Z448" s="864">
        <f t="shared" si="373"/>
        <v>-1851.1940000000009</v>
      </c>
      <c r="AA448" s="866">
        <f t="shared" si="373"/>
        <v>-502.96199999999999</v>
      </c>
      <c r="AB448" s="866">
        <f t="shared" si="373"/>
        <v>-471.86500000000069</v>
      </c>
      <c r="AC448" s="866">
        <f t="shared" si="373"/>
        <v>-555.82099999999969</v>
      </c>
      <c r="AD448" s="867">
        <f t="shared" si="373"/>
        <v>-541.29900000000055</v>
      </c>
      <c r="AE448" s="864">
        <f t="shared" si="373"/>
        <v>-2071.947000000001</v>
      </c>
      <c r="AF448" s="866">
        <f t="shared" si="373"/>
        <v>-491.04999999999927</v>
      </c>
      <c r="AG448" s="866">
        <f t="shared" si="373"/>
        <v>-551.86200000000008</v>
      </c>
      <c r="AH448" s="866">
        <f t="shared" si="373"/>
        <v>-830.03599999999983</v>
      </c>
      <c r="AI448" s="867">
        <f t="shared" ref="AI448:AY448" si="374">AI447+AI437</f>
        <v>-1313.8300000000002</v>
      </c>
      <c r="AJ448" s="864">
        <f t="shared" si="374"/>
        <v>-3186.7780000000007</v>
      </c>
      <c r="AK448" s="866">
        <f t="shared" si="374"/>
        <v>-493.76099999999963</v>
      </c>
      <c r="AL448" s="866">
        <f t="shared" si="374"/>
        <v>-595.49200000000064</v>
      </c>
      <c r="AM448" s="866">
        <f t="shared" si="374"/>
        <v>-782.94099999999889</v>
      </c>
      <c r="AN448" s="867">
        <f t="shared" si="374"/>
        <v>-1311.2060000000022</v>
      </c>
      <c r="AO448" s="864">
        <f t="shared" si="374"/>
        <v>-3183.4000000000028</v>
      </c>
      <c r="AP448" s="866">
        <f t="shared" si="374"/>
        <v>203.65000000000032</v>
      </c>
      <c r="AQ448" s="866">
        <f t="shared" si="374"/>
        <v>1110.0409999999999</v>
      </c>
      <c r="AR448" s="866">
        <f>AR447+AR437</f>
        <v>808.27800000000082</v>
      </c>
      <c r="AS448" s="867">
        <f>AS447+AS437</f>
        <v>-160.94200000000072</v>
      </c>
      <c r="AT448" s="864">
        <f>AT447+AT437</f>
        <v>1961.0269999999998</v>
      </c>
      <c r="AU448" s="866">
        <f t="shared" ref="AU448" si="375">AU447+AU437</f>
        <v>916.32499999999982</v>
      </c>
      <c r="AV448" s="866">
        <f>AV447+AV437</f>
        <v>2.9009999999997262</v>
      </c>
      <c r="AW448" s="878">
        <f>AW447+AW437</f>
        <v>-268.66700000000083</v>
      </c>
      <c r="AX448" s="867">
        <f t="shared" ca="1" si="374"/>
        <v>171.5603459323691</v>
      </c>
      <c r="AY448" s="864">
        <f t="shared" ca="1" si="374"/>
        <v>822.1193459323672</v>
      </c>
      <c r="AZ448" s="867">
        <f t="shared" ref="AZ448:BG448" ca="1" si="376">AZ447+AZ437</f>
        <v>1036.6384881714866</v>
      </c>
      <c r="BA448" s="867">
        <f t="shared" ca="1" si="376"/>
        <v>1060.0774344260517</v>
      </c>
      <c r="BB448" s="867">
        <f t="shared" ca="1" si="376"/>
        <v>1192.8979589021146</v>
      </c>
      <c r="BC448" s="867">
        <f t="shared" ca="1" si="376"/>
        <v>762.27079863117058</v>
      </c>
      <c r="BD448" s="864">
        <f t="shared" ca="1" si="376"/>
        <v>4051.8846801308237</v>
      </c>
      <c r="BE448" s="864">
        <f t="shared" ca="1" si="376"/>
        <v>6467.4865262580552</v>
      </c>
      <c r="BF448" s="864">
        <f t="shared" ca="1" si="376"/>
        <v>9463.1226361945191</v>
      </c>
      <c r="BG448" s="864">
        <f t="shared" ca="1" si="376"/>
        <v>12822.66613696791</v>
      </c>
      <c r="BH448" s="821"/>
    </row>
    <row r="449" spans="1:60" customFormat="1" x14ac:dyDescent="0.25">
      <c r="A449" s="821" t="s">
        <v>121</v>
      </c>
      <c r="B449" s="289"/>
      <c r="C449" s="865">
        <f t="shared" ref="C449:AH449" si="377">C448+C435+C436</f>
        <v>82.152999999999963</v>
      </c>
      <c r="D449" s="865">
        <f t="shared" si="377"/>
        <v>59.523000000000025</v>
      </c>
      <c r="E449" s="865">
        <f t="shared" si="377"/>
        <v>67.283000000000158</v>
      </c>
      <c r="F449" s="865">
        <f t="shared" si="377"/>
        <v>-91.792999999999807</v>
      </c>
      <c r="G449" s="866">
        <f t="shared" si="377"/>
        <v>-70.573000000000022</v>
      </c>
      <c r="H449" s="866">
        <f t="shared" si="377"/>
        <v>-42.089999999999954</v>
      </c>
      <c r="I449" s="866">
        <f t="shared" si="377"/>
        <v>17.347000000000182</v>
      </c>
      <c r="J449" s="866">
        <f t="shared" si="377"/>
        <v>-46.789999999999829</v>
      </c>
      <c r="K449" s="865">
        <f t="shared" si="377"/>
        <v>-142.10599999999994</v>
      </c>
      <c r="L449" s="866">
        <f t="shared" si="377"/>
        <v>-70.863999999999947</v>
      </c>
      <c r="M449" s="866">
        <f t="shared" si="377"/>
        <v>-34.510999999999981</v>
      </c>
      <c r="N449" s="866">
        <f t="shared" si="377"/>
        <v>-109.93300000000011</v>
      </c>
      <c r="O449" s="866">
        <f t="shared" si="377"/>
        <v>-49.82799999999969</v>
      </c>
      <c r="P449" s="865">
        <f t="shared" si="377"/>
        <v>-265.13599999999991</v>
      </c>
      <c r="Q449" s="866">
        <f t="shared" si="377"/>
        <v>-244.27199999999996</v>
      </c>
      <c r="R449" s="866">
        <f t="shared" si="377"/>
        <v>-252.90499999999997</v>
      </c>
      <c r="S449" s="866">
        <f t="shared" si="377"/>
        <v>-344.51800000000003</v>
      </c>
      <c r="T449" s="866">
        <f t="shared" si="377"/>
        <v>-249.83699999999996</v>
      </c>
      <c r="U449" s="865">
        <f t="shared" si="377"/>
        <v>-1091.5319999999997</v>
      </c>
      <c r="V449" s="866">
        <f t="shared" si="377"/>
        <v>-293.83000000000038</v>
      </c>
      <c r="W449" s="866">
        <f t="shared" si="377"/>
        <v>-309.76599999999928</v>
      </c>
      <c r="X449" s="866">
        <f t="shared" si="377"/>
        <v>-592.73800000000051</v>
      </c>
      <c r="Y449" s="867">
        <f t="shared" si="377"/>
        <v>-654.86000000000058</v>
      </c>
      <c r="Z449" s="864">
        <f t="shared" si="377"/>
        <v>-1851.1940000000009</v>
      </c>
      <c r="AA449" s="866">
        <f t="shared" si="377"/>
        <v>-502.96199999999999</v>
      </c>
      <c r="AB449" s="866">
        <f t="shared" si="377"/>
        <v>-471.86500000000069</v>
      </c>
      <c r="AC449" s="866">
        <f t="shared" si="377"/>
        <v>-555.82099999999969</v>
      </c>
      <c r="AD449" s="867">
        <f t="shared" si="377"/>
        <v>-541.29900000000055</v>
      </c>
      <c r="AE449" s="864">
        <f t="shared" si="377"/>
        <v>-2071.947000000001</v>
      </c>
      <c r="AF449" s="866">
        <f t="shared" si="377"/>
        <v>-491.04999999999927</v>
      </c>
      <c r="AG449" s="866">
        <f t="shared" si="377"/>
        <v>-551.86200000000008</v>
      </c>
      <c r="AH449" s="866">
        <f t="shared" si="377"/>
        <v>-830.03599999999983</v>
      </c>
      <c r="AI449" s="867">
        <f t="shared" ref="AI449:AY449" si="378">AI448+AI435+AI436</f>
        <v>-1313.8300000000002</v>
      </c>
      <c r="AJ449" s="864">
        <f t="shared" si="378"/>
        <v>-3186.7780000000007</v>
      </c>
      <c r="AK449" s="866">
        <f t="shared" si="378"/>
        <v>-493.76099999999963</v>
      </c>
      <c r="AL449" s="866">
        <f t="shared" si="378"/>
        <v>-595.49200000000064</v>
      </c>
      <c r="AM449" s="866">
        <f t="shared" si="378"/>
        <v>-782.94099999999889</v>
      </c>
      <c r="AN449" s="867">
        <f t="shared" si="378"/>
        <v>-1311.2060000000022</v>
      </c>
      <c r="AO449" s="864">
        <f t="shared" si="378"/>
        <v>-3183.4000000000028</v>
      </c>
      <c r="AP449" s="866">
        <f t="shared" si="378"/>
        <v>203.65000000000032</v>
      </c>
      <c r="AQ449" s="866">
        <f t="shared" si="378"/>
        <v>1110.0409999999999</v>
      </c>
      <c r="AR449" s="866">
        <f>AR448+AR435+AR436</f>
        <v>808.27800000000082</v>
      </c>
      <c r="AS449" s="867">
        <f>AS448+AS435+AS436</f>
        <v>-160.94200000000072</v>
      </c>
      <c r="AT449" s="864">
        <f>AT448+AT435+AT436</f>
        <v>1961.0269999999998</v>
      </c>
      <c r="AU449" s="866">
        <f t="shared" ref="AU449" si="379">AU448+AU435+AU436</f>
        <v>916.32499999999982</v>
      </c>
      <c r="AV449" s="866">
        <f>AV448+AV435+AV436</f>
        <v>2.9009999999997262</v>
      </c>
      <c r="AW449" s="878">
        <f>AW448+AW435+AW436</f>
        <v>-268.66700000000083</v>
      </c>
      <c r="AX449" s="867">
        <f t="shared" ca="1" si="378"/>
        <v>171.5603459323691</v>
      </c>
      <c r="AY449" s="864">
        <f t="shared" ca="1" si="378"/>
        <v>822.1193459323672</v>
      </c>
      <c r="AZ449" s="867">
        <f t="shared" ref="AZ449:BG449" ca="1" si="380">AZ448+AZ435+AZ436</f>
        <v>1036.6384881714866</v>
      </c>
      <c r="BA449" s="867">
        <f t="shared" ca="1" si="380"/>
        <v>1060.0774344260517</v>
      </c>
      <c r="BB449" s="867">
        <f t="shared" ca="1" si="380"/>
        <v>1192.8979589021146</v>
      </c>
      <c r="BC449" s="867">
        <f t="shared" ca="1" si="380"/>
        <v>762.27079863117058</v>
      </c>
      <c r="BD449" s="864">
        <f t="shared" ca="1" si="380"/>
        <v>4051.8846801308237</v>
      </c>
      <c r="BE449" s="864">
        <f t="shared" ca="1" si="380"/>
        <v>6467.4865262580552</v>
      </c>
      <c r="BF449" s="864">
        <f t="shared" ca="1" si="380"/>
        <v>9463.1226361945191</v>
      </c>
      <c r="BG449" s="864">
        <f t="shared" ca="1" si="380"/>
        <v>12822.66613696791</v>
      </c>
      <c r="BH449" s="821"/>
    </row>
    <row r="450" spans="1:60" s="57" customFormat="1" x14ac:dyDescent="0.25">
      <c r="A450" s="824" t="s">
        <v>535</v>
      </c>
      <c r="B450" s="423"/>
      <c r="C450" s="875">
        <f t="shared" ref="C450:AH450" si="381">C449+C440+C441</f>
        <v>-2.488000000000028</v>
      </c>
      <c r="D450" s="875">
        <f t="shared" si="381"/>
        <v>-40.521999999999963</v>
      </c>
      <c r="E450" s="875">
        <f t="shared" si="381"/>
        <v>328.93900000000014</v>
      </c>
      <c r="F450" s="875">
        <f t="shared" si="381"/>
        <v>-86.203999999999809</v>
      </c>
      <c r="G450" s="876">
        <f t="shared" si="381"/>
        <v>251.00899999999999</v>
      </c>
      <c r="H450" s="876">
        <f t="shared" si="381"/>
        <v>6.8690000000000495</v>
      </c>
      <c r="I450" s="876">
        <f t="shared" si="381"/>
        <v>63.142000000000181</v>
      </c>
      <c r="J450" s="876">
        <f t="shared" si="381"/>
        <v>13.138000000000169</v>
      </c>
      <c r="K450" s="875">
        <f t="shared" si="381"/>
        <v>334.15800000000007</v>
      </c>
      <c r="L450" s="876">
        <f t="shared" si="381"/>
        <v>387.322</v>
      </c>
      <c r="M450" s="876">
        <f t="shared" si="381"/>
        <v>-6.0379999999999825</v>
      </c>
      <c r="N450" s="876">
        <f t="shared" si="381"/>
        <v>-79.271000000000114</v>
      </c>
      <c r="O450" s="876">
        <f t="shared" si="381"/>
        <v>-25.436999999999699</v>
      </c>
      <c r="P450" s="875">
        <f t="shared" si="381"/>
        <v>276.57600000000008</v>
      </c>
      <c r="Q450" s="876">
        <f t="shared" si="381"/>
        <v>1278.162</v>
      </c>
      <c r="R450" s="876">
        <f t="shared" si="381"/>
        <v>-190.358</v>
      </c>
      <c r="S450" s="876">
        <f t="shared" si="381"/>
        <v>-271.76400000000001</v>
      </c>
      <c r="T450" s="876">
        <f t="shared" si="381"/>
        <v>-267.29499999999996</v>
      </c>
      <c r="U450" s="875">
        <f t="shared" si="381"/>
        <v>548.74500000000023</v>
      </c>
      <c r="V450" s="876">
        <f t="shared" si="381"/>
        <v>-278.97800000000041</v>
      </c>
      <c r="W450" s="876">
        <f t="shared" si="381"/>
        <v>-292.21099999999927</v>
      </c>
      <c r="X450" s="876">
        <f t="shared" si="381"/>
        <v>-576.15700000000049</v>
      </c>
      <c r="Y450" s="879">
        <f t="shared" si="381"/>
        <v>387.5519999999994</v>
      </c>
      <c r="Z450" s="874">
        <f t="shared" si="381"/>
        <v>-759.79400000000089</v>
      </c>
      <c r="AA450" s="876">
        <f t="shared" si="381"/>
        <v>-478.78399999999999</v>
      </c>
      <c r="AB450" s="876">
        <f t="shared" si="381"/>
        <v>948.4579999999994</v>
      </c>
      <c r="AC450" s="876">
        <f t="shared" si="381"/>
        <v>-521.4639999999996</v>
      </c>
      <c r="AD450" s="879">
        <f t="shared" si="381"/>
        <v>1056.5779999999995</v>
      </c>
      <c r="AE450" s="874">
        <f t="shared" si="381"/>
        <v>1004.7879999999992</v>
      </c>
      <c r="AF450" s="876">
        <f t="shared" si="381"/>
        <v>-434.71499999999929</v>
      </c>
      <c r="AG450" s="876">
        <f t="shared" si="381"/>
        <v>1358.0819999999999</v>
      </c>
      <c r="AH450" s="876">
        <f t="shared" si="381"/>
        <v>-800.25499999999988</v>
      </c>
      <c r="AI450" s="879">
        <f t="shared" ref="AI450:AY450" si="382">AI449+AI440+AI441</f>
        <v>740.59299999999985</v>
      </c>
      <c r="AJ450" s="874">
        <f t="shared" si="382"/>
        <v>863.70499999999902</v>
      </c>
      <c r="AK450" s="876">
        <f t="shared" si="382"/>
        <v>-470.78899999999965</v>
      </c>
      <c r="AL450" s="876">
        <f t="shared" si="382"/>
        <v>1651.4079999999992</v>
      </c>
      <c r="AM450" s="876">
        <f t="shared" si="382"/>
        <v>-770.95199999999886</v>
      </c>
      <c r="AN450" s="879">
        <f t="shared" si="382"/>
        <v>912.59499999999753</v>
      </c>
      <c r="AO450" s="874">
        <f t="shared" si="382"/>
        <v>1322.2619999999968</v>
      </c>
      <c r="AP450" s="876">
        <f t="shared" si="382"/>
        <v>247.34400000000034</v>
      </c>
      <c r="AQ450" s="876">
        <f t="shared" si="382"/>
        <v>2201.0059999999999</v>
      </c>
      <c r="AR450" s="876">
        <f>AR449+AR440+AR441</f>
        <v>876.94300000000089</v>
      </c>
      <c r="AS450" s="879">
        <f>AS449+AS440+AS441</f>
        <v>-126.95500000000072</v>
      </c>
      <c r="AT450" s="874">
        <f>AT449+AT440+AT441</f>
        <v>3198.3379999999997</v>
      </c>
      <c r="AU450" s="876">
        <f t="shared" ref="AU450" si="383">AU449+AU440+AU441</f>
        <v>464.39599999999984</v>
      </c>
      <c r="AV450" s="876">
        <f>AV449+AV440+AV441</f>
        <v>-477.3720000000003</v>
      </c>
      <c r="AW450" s="877">
        <f>AW449+AW440+AW441</f>
        <v>-350.22200000000089</v>
      </c>
      <c r="AX450" s="879">
        <f t="shared" ca="1" si="382"/>
        <v>171.5603459323691</v>
      </c>
      <c r="AY450" s="874">
        <f t="shared" ca="1" si="382"/>
        <v>-191.63765406763287</v>
      </c>
      <c r="AZ450" s="879">
        <f t="shared" ref="AZ450:BG450" ca="1" si="384">AZ449+AZ440+AZ441</f>
        <v>1036.6384881714866</v>
      </c>
      <c r="BA450" s="879">
        <f t="shared" ca="1" si="384"/>
        <v>1060.0774344260517</v>
      </c>
      <c r="BB450" s="879">
        <f t="shared" ca="1" si="384"/>
        <v>1192.8979589021146</v>
      </c>
      <c r="BC450" s="879">
        <f t="shared" ca="1" si="384"/>
        <v>762.27079863117058</v>
      </c>
      <c r="BD450" s="874">
        <f t="shared" ca="1" si="384"/>
        <v>4051.8846801308237</v>
      </c>
      <c r="BE450" s="874">
        <f t="shared" ca="1" si="384"/>
        <v>6467.4865262580552</v>
      </c>
      <c r="BF450" s="874">
        <f t="shared" ca="1" si="384"/>
        <v>9463.1226361945191</v>
      </c>
      <c r="BG450" s="874">
        <f t="shared" ca="1" si="384"/>
        <v>12822.66613696791</v>
      </c>
      <c r="BH450" s="821"/>
    </row>
    <row r="451" spans="1:60" customFormat="1" x14ac:dyDescent="0.25">
      <c r="A451" s="822"/>
      <c r="B451" s="289"/>
      <c r="C451" s="864"/>
      <c r="D451" s="864"/>
      <c r="E451" s="864"/>
      <c r="F451" s="864"/>
      <c r="G451" s="867"/>
      <c r="H451" s="867"/>
      <c r="I451" s="867"/>
      <c r="J451" s="867"/>
      <c r="K451" s="864"/>
      <c r="L451" s="867"/>
      <c r="M451" s="867"/>
      <c r="N451" s="867"/>
      <c r="O451" s="867"/>
      <c r="P451" s="864"/>
      <c r="Q451" s="867"/>
      <c r="R451" s="867"/>
      <c r="S451" s="867"/>
      <c r="T451" s="867"/>
      <c r="U451" s="864"/>
      <c r="V451" s="867"/>
      <c r="W451" s="867"/>
      <c r="X451" s="867"/>
      <c r="Y451" s="867"/>
      <c r="Z451" s="864"/>
      <c r="AA451" s="867"/>
      <c r="AB451" s="867"/>
      <c r="AC451" s="867"/>
      <c r="AD451" s="867"/>
      <c r="AE451" s="864"/>
      <c r="AF451" s="867"/>
      <c r="AG451" s="867"/>
      <c r="AH451" s="867"/>
      <c r="AI451" s="867"/>
      <c r="AJ451" s="864"/>
      <c r="AK451" s="867"/>
      <c r="AL451" s="867"/>
      <c r="AM451" s="867"/>
      <c r="AN451" s="867"/>
      <c r="AO451" s="864"/>
      <c r="AP451" s="867"/>
      <c r="AQ451" s="867"/>
      <c r="AR451" s="867"/>
      <c r="AS451" s="867"/>
      <c r="AT451" s="864"/>
      <c r="AU451" s="867"/>
      <c r="AV451" s="867"/>
      <c r="AW451" s="868"/>
      <c r="AX451" s="867"/>
      <c r="AY451" s="864"/>
      <c r="AZ451" s="867"/>
      <c r="BA451" s="867"/>
      <c r="BB451" s="867"/>
      <c r="BC451" s="867"/>
      <c r="BD451" s="864"/>
      <c r="BE451" s="864"/>
      <c r="BF451" s="864"/>
      <c r="BG451" s="864"/>
      <c r="BH451" s="821"/>
    </row>
    <row r="452" spans="1:60" customFormat="1" x14ac:dyDescent="0.25">
      <c r="A452" s="819" t="s">
        <v>122</v>
      </c>
      <c r="B452" s="819"/>
      <c r="C452" s="861"/>
      <c r="D452" s="861"/>
      <c r="E452" s="861"/>
      <c r="F452" s="861"/>
      <c r="G452" s="861"/>
      <c r="H452" s="861"/>
      <c r="I452" s="861"/>
      <c r="J452" s="861"/>
      <c r="K452" s="861"/>
      <c r="L452" s="861"/>
      <c r="M452" s="861"/>
      <c r="N452" s="861"/>
      <c r="O452" s="861"/>
      <c r="P452" s="861"/>
      <c r="Q452" s="861"/>
      <c r="R452" s="861"/>
      <c r="S452" s="861"/>
      <c r="T452" s="861"/>
      <c r="U452" s="861"/>
      <c r="V452" s="861"/>
      <c r="W452" s="861"/>
      <c r="X452" s="861"/>
      <c r="Y452" s="861"/>
      <c r="Z452" s="861"/>
      <c r="AA452" s="861"/>
      <c r="AB452" s="861"/>
      <c r="AC452" s="861"/>
      <c r="AD452" s="861"/>
      <c r="AE452" s="861"/>
      <c r="AF452" s="861"/>
      <c r="AG452" s="861"/>
      <c r="AH452" s="861"/>
      <c r="AI452" s="861"/>
      <c r="AJ452" s="861"/>
      <c r="AK452" s="861"/>
      <c r="AL452" s="861"/>
      <c r="AM452" s="861"/>
      <c r="AN452" s="861"/>
      <c r="AO452" s="861"/>
      <c r="AP452" s="861"/>
      <c r="AQ452" s="861"/>
      <c r="AR452" s="861"/>
      <c r="AS452" s="861"/>
      <c r="AT452" s="861"/>
      <c r="AU452" s="861"/>
      <c r="AV452" s="861"/>
      <c r="AW452" s="862"/>
      <c r="AX452" s="861"/>
      <c r="AY452" s="861"/>
      <c r="AZ452" s="861"/>
      <c r="BA452" s="861"/>
      <c r="BB452" s="861"/>
      <c r="BC452" s="861"/>
      <c r="BD452" s="861"/>
      <c r="BE452" s="861"/>
      <c r="BF452" s="861"/>
      <c r="BG452" s="861"/>
      <c r="BH452" s="824"/>
    </row>
    <row r="453" spans="1:60" customFormat="1" x14ac:dyDescent="0.25">
      <c r="A453" s="821" t="s">
        <v>123</v>
      </c>
      <c r="B453" s="289"/>
      <c r="C453" s="865">
        <f t="shared" ref="C453:AV453" si="385">C650+C651+C671+C657</f>
        <v>320.24199999999996</v>
      </c>
      <c r="D453" s="865">
        <f t="shared" si="385"/>
        <v>350.387</v>
      </c>
      <c r="E453" s="865">
        <f t="shared" si="385"/>
        <v>797.81099999999992</v>
      </c>
      <c r="F453" s="865">
        <f t="shared" si="385"/>
        <v>748.07799999999997</v>
      </c>
      <c r="G453" s="866">
        <f t="shared" si="385"/>
        <v>1025.8720000000001</v>
      </c>
      <c r="H453" s="866">
        <f t="shared" si="385"/>
        <v>1080.1100000000001</v>
      </c>
      <c r="I453" s="866">
        <f t="shared" si="385"/>
        <v>1134.9870000000001</v>
      </c>
      <c r="J453" s="866">
        <f t="shared" si="385"/>
        <v>1200.4050000000002</v>
      </c>
      <c r="K453" s="865">
        <f t="shared" si="385"/>
        <v>1200.4050000000002</v>
      </c>
      <c r="L453" s="866">
        <f t="shared" si="385"/>
        <v>1668.2429999999999</v>
      </c>
      <c r="M453" s="866">
        <f t="shared" si="385"/>
        <v>1714.3649999999998</v>
      </c>
      <c r="N453" s="866">
        <f t="shared" si="385"/>
        <v>1666.819</v>
      </c>
      <c r="O453" s="866">
        <f t="shared" si="385"/>
        <v>1608.4959999999999</v>
      </c>
      <c r="P453" s="865">
        <f t="shared" si="385"/>
        <v>1608.4959999999999</v>
      </c>
      <c r="Q453" s="866">
        <f t="shared" si="385"/>
        <v>2957.7080000000001</v>
      </c>
      <c r="R453" s="866">
        <f t="shared" si="385"/>
        <v>2796.7579999999998</v>
      </c>
      <c r="S453" s="866">
        <f t="shared" si="385"/>
        <v>2609.6419999999998</v>
      </c>
      <c r="T453" s="866">
        <f t="shared" si="385"/>
        <v>2310.7150000000001</v>
      </c>
      <c r="U453" s="865">
        <f t="shared" si="385"/>
        <v>2310.7150000000001</v>
      </c>
      <c r="V453" s="866">
        <f t="shared" si="385"/>
        <v>2072.471</v>
      </c>
      <c r="W453" s="866">
        <f t="shared" si="385"/>
        <v>1834.2280000000001</v>
      </c>
      <c r="X453" s="866">
        <f t="shared" si="385"/>
        <v>1343.2560000000001</v>
      </c>
      <c r="Y453" s="867">
        <f t="shared" si="385"/>
        <v>1733.7820000000002</v>
      </c>
      <c r="Z453" s="864">
        <f t="shared" si="385"/>
        <v>1733.7820000000002</v>
      </c>
      <c r="AA453" s="866">
        <f t="shared" si="385"/>
        <v>1341.229</v>
      </c>
      <c r="AB453" s="866">
        <f t="shared" si="385"/>
        <v>2164.902</v>
      </c>
      <c r="AC453" s="866">
        <f t="shared" si="385"/>
        <v>1746.4690000000001</v>
      </c>
      <c r="AD453" s="867">
        <f t="shared" si="385"/>
        <v>2827.1950000000002</v>
      </c>
      <c r="AE453" s="864">
        <f t="shared" si="385"/>
        <v>2827.1950000000002</v>
      </c>
      <c r="AF453" s="866">
        <f t="shared" si="385"/>
        <v>2599.4770000000003</v>
      </c>
      <c r="AG453" s="866">
        <f t="shared" si="385"/>
        <v>3913.9940000000001</v>
      </c>
      <c r="AH453" s="866">
        <f t="shared" si="385"/>
        <v>3078.5640000000003</v>
      </c>
      <c r="AI453" s="867">
        <f t="shared" si="385"/>
        <v>3812.0410000000002</v>
      </c>
      <c r="AJ453" s="864">
        <f t="shared" si="385"/>
        <v>3812.0410000000002</v>
      </c>
      <c r="AK453" s="866">
        <f t="shared" si="385"/>
        <v>3370.0969999999998</v>
      </c>
      <c r="AL453" s="866">
        <f t="shared" si="385"/>
        <v>5028.2049999999999</v>
      </c>
      <c r="AM453" s="866">
        <f t="shared" si="385"/>
        <v>4459.7210000000005</v>
      </c>
      <c r="AN453" s="867">
        <f t="shared" si="385"/>
        <v>5043.7860000000001</v>
      </c>
      <c r="AO453" s="864">
        <f t="shared" si="385"/>
        <v>5043.7860000000001</v>
      </c>
      <c r="AP453" s="866">
        <f t="shared" si="385"/>
        <v>5178.1869999999999</v>
      </c>
      <c r="AQ453" s="866">
        <f t="shared" si="385"/>
        <v>7180.0459999999994</v>
      </c>
      <c r="AR453" s="866">
        <f t="shared" si="385"/>
        <v>8422.2800000000007</v>
      </c>
      <c r="AS453" s="867">
        <f t="shared" si="385"/>
        <v>8238.869999999999</v>
      </c>
      <c r="AT453" s="864">
        <f t="shared" si="385"/>
        <v>8238.869999999999</v>
      </c>
      <c r="AU453" s="866">
        <f t="shared" si="385"/>
        <v>8436.4529999999995</v>
      </c>
      <c r="AV453" s="866">
        <f t="shared" si="385"/>
        <v>7804.6180000000004</v>
      </c>
      <c r="AW453" s="878">
        <f>AW650+AW651+AW671+AW657</f>
        <v>7552.9679999999989</v>
      </c>
      <c r="AX453" s="867">
        <f t="shared" ref="AX453:BG453" ca="1" si="386">AX650+AX651+AX671+AX657</f>
        <v>7944.4009903092674</v>
      </c>
      <c r="AY453" s="864">
        <f t="shared" ca="1" si="386"/>
        <v>7944.4009903092674</v>
      </c>
      <c r="AZ453" s="867">
        <f t="shared" ca="1" si="386"/>
        <v>8871.7557268356668</v>
      </c>
      <c r="BA453" s="867">
        <f t="shared" ca="1" si="386"/>
        <v>9736.4201636530652</v>
      </c>
      <c r="BB453" s="867">
        <f t="shared" ca="1" si="386"/>
        <v>11192.560671020596</v>
      </c>
      <c r="BC453" s="867">
        <f t="shared" ca="1" si="386"/>
        <v>12191.655014890279</v>
      </c>
      <c r="BD453" s="864">
        <f t="shared" ca="1" si="386"/>
        <v>12191.655014890279</v>
      </c>
      <c r="BE453" s="864">
        <f t="shared" ca="1" si="386"/>
        <v>18886.329310787161</v>
      </c>
      <c r="BF453" s="864">
        <f t="shared" ca="1" si="386"/>
        <v>28625.186497435217</v>
      </c>
      <c r="BG453" s="864">
        <f t="shared" ca="1" si="386"/>
        <v>41767.663457707626</v>
      </c>
      <c r="BH453" s="821"/>
    </row>
    <row r="454" spans="1:60" s="57" customFormat="1" x14ac:dyDescent="0.25">
      <c r="A454" s="367" t="s">
        <v>528</v>
      </c>
      <c r="B454" s="289"/>
      <c r="C454" s="865">
        <f t="shared" ref="C454:AQ454" si="387">C682+C683</f>
        <v>1.41</v>
      </c>
      <c r="D454" s="865">
        <f t="shared" si="387"/>
        <v>0</v>
      </c>
      <c r="E454" s="865">
        <f t="shared" si="387"/>
        <v>0</v>
      </c>
      <c r="F454" s="865">
        <f t="shared" si="387"/>
        <v>0</v>
      </c>
      <c r="G454" s="866">
        <f t="shared" si="387"/>
        <v>0</v>
      </c>
      <c r="H454" s="866">
        <f t="shared" si="387"/>
        <v>0</v>
      </c>
      <c r="I454" s="866">
        <f t="shared" si="387"/>
        <v>0</v>
      </c>
      <c r="J454" s="866">
        <f t="shared" si="387"/>
        <v>0</v>
      </c>
      <c r="K454" s="865">
        <f t="shared" si="387"/>
        <v>0</v>
      </c>
      <c r="L454" s="866">
        <f t="shared" si="387"/>
        <v>0</v>
      </c>
      <c r="M454" s="866">
        <f t="shared" si="387"/>
        <v>0</v>
      </c>
      <c r="N454" s="866">
        <f t="shared" si="387"/>
        <v>0</v>
      </c>
      <c r="O454" s="866">
        <f t="shared" si="387"/>
        <v>0</v>
      </c>
      <c r="P454" s="865">
        <f t="shared" si="387"/>
        <v>0</v>
      </c>
      <c r="Q454" s="866">
        <f t="shared" si="387"/>
        <v>0</v>
      </c>
      <c r="R454" s="866">
        <f t="shared" si="387"/>
        <v>0</v>
      </c>
      <c r="S454" s="866">
        <f t="shared" si="387"/>
        <v>0</v>
      </c>
      <c r="T454" s="866">
        <f t="shared" si="387"/>
        <v>0</v>
      </c>
      <c r="U454" s="865">
        <f t="shared" si="387"/>
        <v>0</v>
      </c>
      <c r="V454" s="866">
        <f t="shared" si="387"/>
        <v>0</v>
      </c>
      <c r="W454" s="866">
        <f t="shared" si="387"/>
        <v>0</v>
      </c>
      <c r="X454" s="866">
        <f t="shared" si="387"/>
        <v>0</v>
      </c>
      <c r="Y454" s="867">
        <f t="shared" si="387"/>
        <v>0</v>
      </c>
      <c r="Z454" s="864">
        <f t="shared" si="387"/>
        <v>0</v>
      </c>
      <c r="AA454" s="866">
        <f t="shared" si="387"/>
        <v>0</v>
      </c>
      <c r="AB454" s="866">
        <f t="shared" si="387"/>
        <v>0</v>
      </c>
      <c r="AC454" s="866">
        <f t="shared" si="387"/>
        <v>0</v>
      </c>
      <c r="AD454" s="867">
        <f t="shared" si="387"/>
        <v>0</v>
      </c>
      <c r="AE454" s="864">
        <f t="shared" si="387"/>
        <v>0</v>
      </c>
      <c r="AF454" s="866">
        <f t="shared" si="387"/>
        <v>0</v>
      </c>
      <c r="AG454" s="866">
        <f t="shared" si="387"/>
        <v>0</v>
      </c>
      <c r="AH454" s="866">
        <f t="shared" si="387"/>
        <v>0</v>
      </c>
      <c r="AI454" s="867">
        <f t="shared" si="387"/>
        <v>0</v>
      </c>
      <c r="AJ454" s="864">
        <f t="shared" si="387"/>
        <v>0</v>
      </c>
      <c r="AK454" s="866">
        <f t="shared" si="387"/>
        <v>0</v>
      </c>
      <c r="AL454" s="866">
        <f t="shared" si="387"/>
        <v>0</v>
      </c>
      <c r="AM454" s="866">
        <f t="shared" si="387"/>
        <v>0</v>
      </c>
      <c r="AN454" s="867">
        <f t="shared" si="387"/>
        <v>0</v>
      </c>
      <c r="AO454" s="864">
        <f t="shared" si="387"/>
        <v>0</v>
      </c>
      <c r="AP454" s="866">
        <f t="shared" si="387"/>
        <v>498.80900000000003</v>
      </c>
      <c r="AQ454" s="866">
        <f t="shared" si="387"/>
        <v>499.161</v>
      </c>
      <c r="AR454" s="866">
        <f>AR682+AR683</f>
        <v>499.517</v>
      </c>
      <c r="AS454" s="867">
        <f>AS682+AS683</f>
        <v>499.87799999999999</v>
      </c>
      <c r="AT454" s="864">
        <f>AT682+AT683</f>
        <v>499.87799999999999</v>
      </c>
      <c r="AU454" s="866">
        <f t="shared" ref="AU454" si="388">AU682+AU683</f>
        <v>698.78800000000001</v>
      </c>
      <c r="AV454" s="866">
        <f>AV682+AV683</f>
        <v>699.12800000000004</v>
      </c>
      <c r="AW454" s="878">
        <f>AW682+AW683</f>
        <v>699.47299999999996</v>
      </c>
      <c r="AX454" s="867">
        <f>AX456-AX455</f>
        <v>699.47299999999996</v>
      </c>
      <c r="AY454" s="864">
        <f>AY682+AY683</f>
        <v>699.47299999999996</v>
      </c>
      <c r="AZ454" s="867">
        <f>AZ456-AZ455</f>
        <v>699.47299999999996</v>
      </c>
      <c r="BA454" s="867">
        <f>BA456-BA455</f>
        <v>699.47299999999996</v>
      </c>
      <c r="BB454" s="867">
        <f>BB456-BB455</f>
        <v>699.47299999999996</v>
      </c>
      <c r="BC454" s="867">
        <f>BC456-BC455</f>
        <v>699.47299999999996</v>
      </c>
      <c r="BD454" s="864">
        <f>BD682+BD683</f>
        <v>699.47299999999996</v>
      </c>
      <c r="BE454" s="864">
        <f>BE456-BE455</f>
        <v>699.47299999999996</v>
      </c>
      <c r="BF454" s="864">
        <f>BF456-BF455</f>
        <v>699.47299999999996</v>
      </c>
      <c r="BG454" s="864">
        <f>BG456-BG455</f>
        <v>699.47299999999996</v>
      </c>
      <c r="BH454" s="821"/>
    </row>
    <row r="455" spans="1:60" s="57" customFormat="1" x14ac:dyDescent="0.25">
      <c r="A455" s="425" t="s">
        <v>529</v>
      </c>
      <c r="B455" s="519"/>
      <c r="C455" s="918">
        <f t="shared" ref="C455:AQ455" si="389">C689+C690</f>
        <v>236.572</v>
      </c>
      <c r="D455" s="918">
        <f t="shared" si="389"/>
        <v>200</v>
      </c>
      <c r="E455" s="918">
        <f t="shared" si="389"/>
        <v>400</v>
      </c>
      <c r="F455" s="918">
        <f t="shared" si="389"/>
        <v>400</v>
      </c>
      <c r="G455" s="919">
        <f t="shared" si="389"/>
        <v>700</v>
      </c>
      <c r="H455" s="919">
        <f t="shared" si="389"/>
        <v>500</v>
      </c>
      <c r="I455" s="919">
        <f t="shared" si="389"/>
        <v>500</v>
      </c>
      <c r="J455" s="919">
        <f t="shared" si="389"/>
        <v>500</v>
      </c>
      <c r="K455" s="918">
        <f t="shared" si="389"/>
        <v>500</v>
      </c>
      <c r="L455" s="919">
        <f t="shared" si="389"/>
        <v>900</v>
      </c>
      <c r="M455" s="919">
        <f t="shared" si="389"/>
        <v>900</v>
      </c>
      <c r="N455" s="919">
        <f t="shared" si="389"/>
        <v>900</v>
      </c>
      <c r="O455" s="919">
        <f t="shared" si="389"/>
        <v>900</v>
      </c>
      <c r="P455" s="918">
        <f t="shared" si="389"/>
        <v>900</v>
      </c>
      <c r="Q455" s="919">
        <f t="shared" si="389"/>
        <v>2400</v>
      </c>
      <c r="R455" s="919">
        <f t="shared" si="389"/>
        <v>2400</v>
      </c>
      <c r="S455" s="919">
        <f t="shared" si="389"/>
        <v>2400</v>
      </c>
      <c r="T455" s="919">
        <f t="shared" si="389"/>
        <v>2371.3620000000001</v>
      </c>
      <c r="U455" s="918">
        <f t="shared" si="389"/>
        <v>2371.3620000000001</v>
      </c>
      <c r="V455" s="919">
        <f t="shared" si="389"/>
        <v>2372.2179999999998</v>
      </c>
      <c r="W455" s="919">
        <f t="shared" si="389"/>
        <v>2373.085</v>
      </c>
      <c r="X455" s="919">
        <f t="shared" si="389"/>
        <v>2373.9659999999999</v>
      </c>
      <c r="Y455" s="920">
        <f t="shared" si="389"/>
        <v>3364.3110000000001</v>
      </c>
      <c r="Z455" s="921">
        <f t="shared" si="389"/>
        <v>3364.3110000000001</v>
      </c>
      <c r="AA455" s="919">
        <f t="shared" si="389"/>
        <v>3365.431</v>
      </c>
      <c r="AB455" s="919">
        <f t="shared" si="389"/>
        <v>4836.5020000000004</v>
      </c>
      <c r="AC455" s="919">
        <f t="shared" si="389"/>
        <v>4888.7830000000004</v>
      </c>
      <c r="AD455" s="920">
        <f t="shared" si="389"/>
        <v>6499.4319999999998</v>
      </c>
      <c r="AE455" s="921">
        <f t="shared" si="389"/>
        <v>6499.4319999999998</v>
      </c>
      <c r="AF455" s="919">
        <f t="shared" si="389"/>
        <v>6542.3729999999996</v>
      </c>
      <c r="AG455" s="919">
        <f t="shared" si="389"/>
        <v>8342.0669999999991</v>
      </c>
      <c r="AH455" s="919">
        <f t="shared" si="389"/>
        <v>8336.5859999999993</v>
      </c>
      <c r="AI455" s="920">
        <f t="shared" si="389"/>
        <v>10360.058000000001</v>
      </c>
      <c r="AJ455" s="921">
        <f t="shared" si="389"/>
        <v>10360.058000000001</v>
      </c>
      <c r="AK455" s="919">
        <f t="shared" si="389"/>
        <v>10305.022999999999</v>
      </c>
      <c r="AL455" s="919">
        <f t="shared" si="389"/>
        <v>12594.135</v>
      </c>
      <c r="AM455" s="919">
        <f t="shared" si="389"/>
        <v>12425.745999999999</v>
      </c>
      <c r="AN455" s="920">
        <f t="shared" si="389"/>
        <v>14759.26</v>
      </c>
      <c r="AO455" s="921">
        <f t="shared" si="389"/>
        <v>14759.26</v>
      </c>
      <c r="AP455" s="919">
        <f t="shared" si="389"/>
        <v>14170.691999999999</v>
      </c>
      <c r="AQ455" s="919">
        <f t="shared" si="389"/>
        <v>15294.998</v>
      </c>
      <c r="AR455" s="919">
        <f>AR689+AR690</f>
        <v>15547.616</v>
      </c>
      <c r="AS455" s="920">
        <f>AS689+AS690</f>
        <v>15809.094999999999</v>
      </c>
      <c r="AT455" s="921">
        <f>AT689+AT690</f>
        <v>15809.094999999999</v>
      </c>
      <c r="AU455" s="919">
        <f t="shared" ref="AU455" si="390">AU689+AU690</f>
        <v>14860.552</v>
      </c>
      <c r="AV455" s="919">
        <f>AV689+AV690</f>
        <v>14926.888999999999</v>
      </c>
      <c r="AW455" s="922">
        <f>AW689+AW690</f>
        <v>14793.691000000001</v>
      </c>
      <c r="AX455" s="920">
        <f>MAX(0,AW455+AX440)</f>
        <v>14793.691000000001</v>
      </c>
      <c r="AY455" s="921">
        <f>AY689+AY690</f>
        <v>14793.691000000001</v>
      </c>
      <c r="AZ455" s="920">
        <f>MAX(0,AY455+AZ440)</f>
        <v>14793.691000000001</v>
      </c>
      <c r="BA455" s="920">
        <f>MAX(0,AZ455+BA440)</f>
        <v>14793.691000000001</v>
      </c>
      <c r="BB455" s="920">
        <f>MAX(0,BA455+BB440)</f>
        <v>14793.691000000001</v>
      </c>
      <c r="BC455" s="920">
        <f>MAX(0,BB455+BC440)</f>
        <v>14793.691000000001</v>
      </c>
      <c r="BD455" s="921">
        <f>BD689+BD690</f>
        <v>14793.691000000001</v>
      </c>
      <c r="BE455" s="921">
        <f>MAX(0,BD455+BE440)</f>
        <v>14793.691000000001</v>
      </c>
      <c r="BF455" s="921">
        <f>MAX(0,BE455+BF440)</f>
        <v>14793.691000000001</v>
      </c>
      <c r="BG455" s="921">
        <f>MAX(0,BF455+BG440)</f>
        <v>14793.691000000001</v>
      </c>
      <c r="BH455" s="821"/>
    </row>
    <row r="456" spans="1:60" customFormat="1" x14ac:dyDescent="0.25">
      <c r="A456" s="821" t="s">
        <v>124</v>
      </c>
      <c r="B456" s="289"/>
      <c r="C456" s="865">
        <f t="shared" ref="C456:AQ456" si="391">C682+C689+C690+C683</f>
        <v>237.982</v>
      </c>
      <c r="D456" s="865">
        <f t="shared" si="391"/>
        <v>200</v>
      </c>
      <c r="E456" s="865">
        <f t="shared" si="391"/>
        <v>400</v>
      </c>
      <c r="F456" s="865">
        <f t="shared" si="391"/>
        <v>400</v>
      </c>
      <c r="G456" s="866">
        <f t="shared" si="391"/>
        <v>700</v>
      </c>
      <c r="H456" s="866">
        <f t="shared" si="391"/>
        <v>500</v>
      </c>
      <c r="I456" s="866">
        <f t="shared" si="391"/>
        <v>500</v>
      </c>
      <c r="J456" s="866">
        <f t="shared" si="391"/>
        <v>500</v>
      </c>
      <c r="K456" s="865">
        <f t="shared" si="391"/>
        <v>500</v>
      </c>
      <c r="L456" s="866">
        <f t="shared" si="391"/>
        <v>900</v>
      </c>
      <c r="M456" s="866">
        <f t="shared" si="391"/>
        <v>900</v>
      </c>
      <c r="N456" s="866">
        <f t="shared" si="391"/>
        <v>900</v>
      </c>
      <c r="O456" s="866">
        <f t="shared" si="391"/>
        <v>900</v>
      </c>
      <c r="P456" s="865">
        <f t="shared" si="391"/>
        <v>900</v>
      </c>
      <c r="Q456" s="866">
        <f t="shared" si="391"/>
        <v>2400</v>
      </c>
      <c r="R456" s="866">
        <f t="shared" si="391"/>
        <v>2400</v>
      </c>
      <c r="S456" s="866">
        <f t="shared" si="391"/>
        <v>2400</v>
      </c>
      <c r="T456" s="866">
        <f t="shared" si="391"/>
        <v>2371.3620000000001</v>
      </c>
      <c r="U456" s="865">
        <f t="shared" si="391"/>
        <v>2371.3620000000001</v>
      </c>
      <c r="V456" s="866">
        <f t="shared" si="391"/>
        <v>2372.2179999999998</v>
      </c>
      <c r="W456" s="866">
        <f t="shared" si="391"/>
        <v>2373.085</v>
      </c>
      <c r="X456" s="866">
        <f t="shared" si="391"/>
        <v>2373.9659999999999</v>
      </c>
      <c r="Y456" s="867">
        <f t="shared" si="391"/>
        <v>3364.3110000000001</v>
      </c>
      <c r="Z456" s="864">
        <f t="shared" si="391"/>
        <v>3364.3110000000001</v>
      </c>
      <c r="AA456" s="866">
        <f t="shared" si="391"/>
        <v>3365.431</v>
      </c>
      <c r="AB456" s="866">
        <f t="shared" si="391"/>
        <v>4836.5020000000004</v>
      </c>
      <c r="AC456" s="866">
        <f t="shared" si="391"/>
        <v>4888.7830000000004</v>
      </c>
      <c r="AD456" s="867">
        <f t="shared" si="391"/>
        <v>6499.4319999999998</v>
      </c>
      <c r="AE456" s="864">
        <f t="shared" si="391"/>
        <v>6499.4319999999998</v>
      </c>
      <c r="AF456" s="866">
        <f t="shared" si="391"/>
        <v>6542.3729999999996</v>
      </c>
      <c r="AG456" s="866">
        <f t="shared" si="391"/>
        <v>8342.0669999999991</v>
      </c>
      <c r="AH456" s="866">
        <f t="shared" si="391"/>
        <v>8336.5859999999993</v>
      </c>
      <c r="AI456" s="867">
        <f t="shared" si="391"/>
        <v>10360.058000000001</v>
      </c>
      <c r="AJ456" s="864">
        <f t="shared" si="391"/>
        <v>10360.058000000001</v>
      </c>
      <c r="AK456" s="866">
        <f t="shared" si="391"/>
        <v>10305.022999999999</v>
      </c>
      <c r="AL456" s="866">
        <f t="shared" si="391"/>
        <v>12594.135</v>
      </c>
      <c r="AM456" s="866">
        <f t="shared" si="391"/>
        <v>12425.745999999999</v>
      </c>
      <c r="AN456" s="867">
        <f t="shared" si="391"/>
        <v>14759.26</v>
      </c>
      <c r="AO456" s="864">
        <f t="shared" si="391"/>
        <v>14759.26</v>
      </c>
      <c r="AP456" s="866">
        <f t="shared" si="391"/>
        <v>14669.500999999998</v>
      </c>
      <c r="AQ456" s="866">
        <f t="shared" si="391"/>
        <v>15794.159</v>
      </c>
      <c r="AR456" s="866">
        <f>AR682+AR689+AR690+AR683</f>
        <v>16047.133</v>
      </c>
      <c r="AS456" s="867">
        <f>AS682+AS689+AS690+AS683</f>
        <v>16308.973</v>
      </c>
      <c r="AT456" s="864">
        <f>AT682+AT689+AT690+AT683</f>
        <v>16308.973</v>
      </c>
      <c r="AU456" s="866">
        <f t="shared" ref="AU456" si="392">AU682+AU689+AU690+AU683</f>
        <v>15559.34</v>
      </c>
      <c r="AV456" s="866">
        <f>AV682+AV689+AV690+AV683</f>
        <v>15626.017</v>
      </c>
      <c r="AW456" s="878">
        <f>AW682+AW689+AW690+AW683</f>
        <v>15493.164000000001</v>
      </c>
      <c r="AX456" s="867">
        <f>AW456+AX440</f>
        <v>15493.164000000001</v>
      </c>
      <c r="AY456" s="864">
        <f>AY682+AY689+AY690+AY683</f>
        <v>15493.164000000001</v>
      </c>
      <c r="AZ456" s="867">
        <f>AY456+AZ440</f>
        <v>15493.164000000001</v>
      </c>
      <c r="BA456" s="867">
        <f>AZ456+BA440</f>
        <v>15493.164000000001</v>
      </c>
      <c r="BB456" s="867">
        <f>BA456+BB440</f>
        <v>15493.164000000001</v>
      </c>
      <c r="BC456" s="867">
        <f>BB456+BC440</f>
        <v>15493.164000000001</v>
      </c>
      <c r="BD456" s="864">
        <f>BD682+BD689+BD690+BD683</f>
        <v>15493.164000000001</v>
      </c>
      <c r="BE456" s="864">
        <f>BD456+BE440</f>
        <v>15493.164000000001</v>
      </c>
      <c r="BF456" s="864">
        <f>BE456+BF440</f>
        <v>15493.164000000001</v>
      </c>
      <c r="BG456" s="864">
        <f>BF456+BG440</f>
        <v>15493.164000000001</v>
      </c>
      <c r="BH456" s="821"/>
    </row>
    <row r="457" spans="1:60" customFormat="1" x14ac:dyDescent="0.25">
      <c r="A457" s="821" t="s">
        <v>434</v>
      </c>
      <c r="B457" s="289"/>
      <c r="C457" s="865">
        <f t="shared" ref="C457:AH457" si="393">C691+C679</f>
        <v>0</v>
      </c>
      <c r="D457" s="865">
        <f t="shared" si="393"/>
        <v>0</v>
      </c>
      <c r="E457" s="865">
        <f t="shared" si="393"/>
        <v>0</v>
      </c>
      <c r="F457" s="865">
        <f t="shared" si="393"/>
        <v>0</v>
      </c>
      <c r="G457" s="866">
        <f t="shared" si="393"/>
        <v>0</v>
      </c>
      <c r="H457" s="866">
        <f t="shared" si="393"/>
        <v>0</v>
      </c>
      <c r="I457" s="866">
        <f t="shared" si="393"/>
        <v>0</v>
      </c>
      <c r="J457" s="866">
        <f t="shared" si="393"/>
        <v>0</v>
      </c>
      <c r="K457" s="865">
        <f t="shared" si="393"/>
        <v>0</v>
      </c>
      <c r="L457" s="866">
        <f t="shared" si="393"/>
        <v>0</v>
      </c>
      <c r="M457" s="866">
        <f t="shared" si="393"/>
        <v>0</v>
      </c>
      <c r="N457" s="866">
        <f t="shared" si="393"/>
        <v>0</v>
      </c>
      <c r="O457" s="866">
        <f t="shared" si="393"/>
        <v>0</v>
      </c>
      <c r="P457" s="865">
        <f t="shared" si="393"/>
        <v>0</v>
      </c>
      <c r="Q457" s="866">
        <f t="shared" si="393"/>
        <v>0</v>
      </c>
      <c r="R457" s="866">
        <f t="shared" si="393"/>
        <v>0</v>
      </c>
      <c r="S457" s="866">
        <f t="shared" si="393"/>
        <v>0</v>
      </c>
      <c r="T457" s="866">
        <f t="shared" si="393"/>
        <v>0</v>
      </c>
      <c r="U457" s="865">
        <f t="shared" si="393"/>
        <v>0</v>
      </c>
      <c r="V457" s="866">
        <f t="shared" si="393"/>
        <v>0</v>
      </c>
      <c r="W457" s="866">
        <f t="shared" si="393"/>
        <v>0</v>
      </c>
      <c r="X457" s="866">
        <f t="shared" si="393"/>
        <v>0</v>
      </c>
      <c r="Y457" s="867">
        <f t="shared" si="393"/>
        <v>0</v>
      </c>
      <c r="Z457" s="864">
        <f t="shared" si="393"/>
        <v>0</v>
      </c>
      <c r="AA457" s="866">
        <f t="shared" si="393"/>
        <v>0</v>
      </c>
      <c r="AB457" s="866">
        <f t="shared" si="393"/>
        <v>0</v>
      </c>
      <c r="AC457" s="866">
        <f t="shared" si="393"/>
        <v>0</v>
      </c>
      <c r="AD457" s="867">
        <f t="shared" si="393"/>
        <v>0</v>
      </c>
      <c r="AE457" s="864">
        <f t="shared" si="393"/>
        <v>0</v>
      </c>
      <c r="AF457" s="866">
        <f t="shared" si="393"/>
        <v>0</v>
      </c>
      <c r="AG457" s="866">
        <f t="shared" si="393"/>
        <v>0</v>
      </c>
      <c r="AH457" s="866">
        <f t="shared" si="393"/>
        <v>0</v>
      </c>
      <c r="AI457" s="867">
        <f t="shared" ref="AI457:AY457" si="394">AI691+AI679</f>
        <v>0</v>
      </c>
      <c r="AJ457" s="864">
        <f t="shared" si="394"/>
        <v>0</v>
      </c>
      <c r="AK457" s="866">
        <f t="shared" si="394"/>
        <v>887.52200000000005</v>
      </c>
      <c r="AL457" s="866">
        <f t="shared" si="394"/>
        <v>1083.942</v>
      </c>
      <c r="AM457" s="866">
        <f t="shared" si="394"/>
        <v>1113.6189999999999</v>
      </c>
      <c r="AN457" s="867">
        <f t="shared" si="394"/>
        <v>1613.2340000000002</v>
      </c>
      <c r="AO457" s="864">
        <f t="shared" si="394"/>
        <v>1613.2340000000002</v>
      </c>
      <c r="AP457" s="866">
        <f t="shared" si="394"/>
        <v>1596</v>
      </c>
      <c r="AQ457" s="866">
        <f t="shared" si="394"/>
        <v>1914</v>
      </c>
      <c r="AR457" s="866">
        <f>AR691+AR679</f>
        <v>2090</v>
      </c>
      <c r="AS457" s="867">
        <f>AS691+AS679</f>
        <v>2201.8530000000001</v>
      </c>
      <c r="AT457" s="864">
        <f>AT691+AT679</f>
        <v>2201.8530000000001</v>
      </c>
      <c r="AU457" s="866">
        <f t="shared" ref="AU457" si="395">AU691+AU679</f>
        <v>2179.9790000000003</v>
      </c>
      <c r="AV457" s="866">
        <f>AV691+AV679</f>
        <v>2317.107</v>
      </c>
      <c r="AW457" s="878">
        <f>AW691+AW679</f>
        <v>2513.444</v>
      </c>
      <c r="AX457" s="867">
        <f t="shared" si="394"/>
        <v>2513.444</v>
      </c>
      <c r="AY457" s="864">
        <f t="shared" si="394"/>
        <v>2513.444</v>
      </c>
      <c r="AZ457" s="867">
        <f t="shared" ref="AZ457:BG457" si="396">AZ691+AZ679</f>
        <v>2513.444</v>
      </c>
      <c r="BA457" s="867">
        <f t="shared" si="396"/>
        <v>2513.444</v>
      </c>
      <c r="BB457" s="867">
        <f t="shared" si="396"/>
        <v>2513.444</v>
      </c>
      <c r="BC457" s="867">
        <f t="shared" si="396"/>
        <v>2513.444</v>
      </c>
      <c r="BD457" s="864">
        <f t="shared" si="396"/>
        <v>2513.444</v>
      </c>
      <c r="BE457" s="864">
        <f t="shared" si="396"/>
        <v>2513.444</v>
      </c>
      <c r="BF457" s="864">
        <f t="shared" si="396"/>
        <v>2513.444</v>
      </c>
      <c r="BG457" s="864">
        <f t="shared" si="396"/>
        <v>2513.444</v>
      </c>
      <c r="BH457" s="821"/>
    </row>
    <row r="458" spans="1:60" customFormat="1" x14ac:dyDescent="0.25">
      <c r="A458" s="821" t="s">
        <v>125</v>
      </c>
      <c r="B458" s="289"/>
      <c r="C458" s="865">
        <f t="shared" ref="C458:AH458" si="397">C456+C457-C453</f>
        <v>-82.259999999999962</v>
      </c>
      <c r="D458" s="865">
        <f t="shared" si="397"/>
        <v>-150.387</v>
      </c>
      <c r="E458" s="865">
        <f t="shared" si="397"/>
        <v>-397.81099999999992</v>
      </c>
      <c r="F458" s="865">
        <f t="shared" si="397"/>
        <v>-348.07799999999997</v>
      </c>
      <c r="G458" s="866">
        <f t="shared" si="397"/>
        <v>-325.87200000000007</v>
      </c>
      <c r="H458" s="866">
        <f t="shared" si="397"/>
        <v>-580.11000000000013</v>
      </c>
      <c r="I458" s="866">
        <f t="shared" si="397"/>
        <v>-634.98700000000008</v>
      </c>
      <c r="J458" s="866">
        <f t="shared" si="397"/>
        <v>-700.4050000000002</v>
      </c>
      <c r="K458" s="865">
        <f t="shared" si="397"/>
        <v>-700.4050000000002</v>
      </c>
      <c r="L458" s="866">
        <f t="shared" si="397"/>
        <v>-768.24299999999994</v>
      </c>
      <c r="M458" s="866">
        <f t="shared" si="397"/>
        <v>-814.36499999999978</v>
      </c>
      <c r="N458" s="866">
        <f t="shared" si="397"/>
        <v>-766.81899999999996</v>
      </c>
      <c r="O458" s="866">
        <f t="shared" si="397"/>
        <v>-708.49599999999987</v>
      </c>
      <c r="P458" s="865">
        <f t="shared" si="397"/>
        <v>-708.49599999999987</v>
      </c>
      <c r="Q458" s="866">
        <f t="shared" si="397"/>
        <v>-557.70800000000008</v>
      </c>
      <c r="R458" s="866">
        <f t="shared" si="397"/>
        <v>-396.75799999999981</v>
      </c>
      <c r="S458" s="866">
        <f t="shared" si="397"/>
        <v>-209.64199999999983</v>
      </c>
      <c r="T458" s="866">
        <f t="shared" si="397"/>
        <v>60.646999999999935</v>
      </c>
      <c r="U458" s="865">
        <f t="shared" si="397"/>
        <v>60.646999999999935</v>
      </c>
      <c r="V458" s="866">
        <f t="shared" si="397"/>
        <v>299.74699999999984</v>
      </c>
      <c r="W458" s="866">
        <f t="shared" si="397"/>
        <v>538.85699999999997</v>
      </c>
      <c r="X458" s="866">
        <f t="shared" si="397"/>
        <v>1030.7099999999998</v>
      </c>
      <c r="Y458" s="867">
        <f t="shared" si="397"/>
        <v>1630.529</v>
      </c>
      <c r="Z458" s="864">
        <f t="shared" si="397"/>
        <v>1630.529</v>
      </c>
      <c r="AA458" s="866">
        <f t="shared" si="397"/>
        <v>2024.202</v>
      </c>
      <c r="AB458" s="866">
        <f t="shared" si="397"/>
        <v>2671.6000000000004</v>
      </c>
      <c r="AC458" s="866">
        <f t="shared" si="397"/>
        <v>3142.3140000000003</v>
      </c>
      <c r="AD458" s="867">
        <f t="shared" si="397"/>
        <v>3672.2369999999996</v>
      </c>
      <c r="AE458" s="864">
        <f t="shared" si="397"/>
        <v>3672.2369999999996</v>
      </c>
      <c r="AF458" s="866">
        <f t="shared" si="397"/>
        <v>3942.8959999999993</v>
      </c>
      <c r="AG458" s="866">
        <f t="shared" si="397"/>
        <v>4428.0729999999985</v>
      </c>
      <c r="AH458" s="866">
        <f t="shared" si="397"/>
        <v>5258.021999999999</v>
      </c>
      <c r="AI458" s="867">
        <f t="shared" ref="AI458:AY458" si="398">AI456+AI457-AI453</f>
        <v>6548.0170000000007</v>
      </c>
      <c r="AJ458" s="864">
        <f t="shared" si="398"/>
        <v>6548.0170000000007</v>
      </c>
      <c r="AK458" s="866">
        <f t="shared" si="398"/>
        <v>7822.4480000000003</v>
      </c>
      <c r="AL458" s="866">
        <f t="shared" si="398"/>
        <v>8649.8720000000012</v>
      </c>
      <c r="AM458" s="866">
        <f t="shared" si="398"/>
        <v>9079.6440000000002</v>
      </c>
      <c r="AN458" s="867">
        <f t="shared" si="398"/>
        <v>11328.708000000001</v>
      </c>
      <c r="AO458" s="864">
        <f t="shared" si="398"/>
        <v>11328.708000000001</v>
      </c>
      <c r="AP458" s="866">
        <f t="shared" si="398"/>
        <v>11087.313999999998</v>
      </c>
      <c r="AQ458" s="866">
        <f t="shared" si="398"/>
        <v>10528.113000000001</v>
      </c>
      <c r="AR458" s="866">
        <f>AR456+AR457-AR453</f>
        <v>9714.853000000001</v>
      </c>
      <c r="AS458" s="867">
        <f>AS456+AS457-AS453</f>
        <v>10271.956000000002</v>
      </c>
      <c r="AT458" s="864">
        <f>AT456+AT457-AT453</f>
        <v>10271.956000000002</v>
      </c>
      <c r="AU458" s="866">
        <f t="shared" ref="AU458" si="399">AU456+AU457-AU453</f>
        <v>9302.866</v>
      </c>
      <c r="AV458" s="866">
        <f>AV456+AV457-AV453</f>
        <v>10138.505999999999</v>
      </c>
      <c r="AW458" s="878">
        <f>AW456+AW457-AW453</f>
        <v>10453.640000000001</v>
      </c>
      <c r="AX458" s="867">
        <f t="shared" ca="1" si="398"/>
        <v>10062.207009690734</v>
      </c>
      <c r="AY458" s="864">
        <f t="shared" ca="1" si="398"/>
        <v>10062.207009690734</v>
      </c>
      <c r="AZ458" s="867">
        <f t="shared" ref="AZ458:BG458" ca="1" si="400">AZ456+AZ457-AZ453</f>
        <v>9134.8522731643334</v>
      </c>
      <c r="BA458" s="867">
        <f t="shared" ca="1" si="400"/>
        <v>8270.187836346935</v>
      </c>
      <c r="BB458" s="867">
        <f t="shared" ca="1" si="400"/>
        <v>6814.0473289794045</v>
      </c>
      <c r="BC458" s="867">
        <f t="shared" ca="1" si="400"/>
        <v>5814.9529851097213</v>
      </c>
      <c r="BD458" s="864">
        <f t="shared" ca="1" si="400"/>
        <v>5814.9529851097213</v>
      </c>
      <c r="BE458" s="864">
        <f t="shared" ca="1" si="400"/>
        <v>-879.7213107871612</v>
      </c>
      <c r="BF458" s="864">
        <f t="shared" ca="1" si="400"/>
        <v>-10618.578497435217</v>
      </c>
      <c r="BG458" s="864">
        <f t="shared" ca="1" si="400"/>
        <v>-23761.055457707625</v>
      </c>
      <c r="BH458" s="821"/>
    </row>
    <row r="459" spans="1:60" s="57" customFormat="1" x14ac:dyDescent="0.25">
      <c r="A459" s="822"/>
      <c r="B459" s="289"/>
      <c r="C459" s="864"/>
      <c r="D459" s="864"/>
      <c r="E459" s="864"/>
      <c r="F459" s="864"/>
      <c r="G459" s="867"/>
      <c r="H459" s="867"/>
      <c r="I459" s="867"/>
      <c r="J459" s="867"/>
      <c r="K459" s="864"/>
      <c r="L459" s="867"/>
      <c r="M459" s="867"/>
      <c r="N459" s="867"/>
      <c r="O459" s="867"/>
      <c r="P459" s="864"/>
      <c r="Q459" s="867"/>
      <c r="R459" s="867"/>
      <c r="S459" s="867"/>
      <c r="T459" s="867"/>
      <c r="U459" s="864"/>
      <c r="V459" s="867"/>
      <c r="W459" s="867"/>
      <c r="X459" s="867"/>
      <c r="Y459" s="867"/>
      <c r="Z459" s="864"/>
      <c r="AA459" s="867"/>
      <c r="AB459" s="867"/>
      <c r="AC459" s="867"/>
      <c r="AD459" s="867"/>
      <c r="AE459" s="864"/>
      <c r="AF459" s="867"/>
      <c r="AG459" s="867"/>
      <c r="AH459" s="867"/>
      <c r="AI459" s="867"/>
      <c r="AJ459" s="864"/>
      <c r="AK459" s="867"/>
      <c r="AL459" s="867"/>
      <c r="AM459" s="867"/>
      <c r="AN459" s="867"/>
      <c r="AO459" s="864"/>
      <c r="AP459" s="867"/>
      <c r="AQ459" s="867"/>
      <c r="AR459" s="867"/>
      <c r="AS459" s="867"/>
      <c r="AT459" s="864"/>
      <c r="AU459" s="867"/>
      <c r="AV459" s="867"/>
      <c r="AW459" s="868"/>
      <c r="AX459" s="867"/>
      <c r="AY459" s="864"/>
      <c r="AZ459" s="867"/>
      <c r="BA459" s="867"/>
      <c r="BB459" s="867"/>
      <c r="BC459" s="867"/>
      <c r="BD459" s="864"/>
      <c r="BE459" s="864"/>
      <c r="BF459" s="864"/>
      <c r="BG459" s="864"/>
      <c r="BH459" s="821"/>
    </row>
    <row r="460" spans="1:60" s="57" customFormat="1" x14ac:dyDescent="0.25">
      <c r="A460" s="821" t="s">
        <v>520</v>
      </c>
      <c r="B460" s="289"/>
      <c r="C460" s="923">
        <f t="shared" ref="C460:AQ460" si="401">C398</f>
        <v>6.4749999999999996</v>
      </c>
      <c r="D460" s="923">
        <f t="shared" si="401"/>
        <v>19.629000000000001</v>
      </c>
      <c r="E460" s="923">
        <f t="shared" si="401"/>
        <v>20.024999999999999</v>
      </c>
      <c r="F460" s="923">
        <f t="shared" si="401"/>
        <v>19.986000000000001</v>
      </c>
      <c r="G460" s="856">
        <f t="shared" si="401"/>
        <v>6.74</v>
      </c>
      <c r="H460" s="856">
        <f t="shared" si="401"/>
        <v>7.5279999999999996</v>
      </c>
      <c r="I460" s="856">
        <f t="shared" si="401"/>
        <v>7.4359999999999999</v>
      </c>
      <c r="J460" s="856">
        <f t="shared" si="401"/>
        <v>7.4380000000000024</v>
      </c>
      <c r="K460" s="923">
        <f t="shared" si="401"/>
        <v>29.141999999999999</v>
      </c>
      <c r="L460" s="856">
        <f t="shared" si="401"/>
        <v>10.052</v>
      </c>
      <c r="M460" s="856">
        <f t="shared" si="401"/>
        <v>13.327999999999999</v>
      </c>
      <c r="N460" s="856">
        <f t="shared" si="401"/>
        <v>13.486000000000001</v>
      </c>
      <c r="O460" s="856">
        <f t="shared" si="401"/>
        <v>13.353000000000002</v>
      </c>
      <c r="P460" s="923">
        <f t="shared" si="401"/>
        <v>50.219000000000001</v>
      </c>
      <c r="Q460" s="856">
        <f t="shared" si="401"/>
        <v>26.736999999999998</v>
      </c>
      <c r="R460" s="856">
        <f t="shared" si="401"/>
        <v>35.216999999999999</v>
      </c>
      <c r="S460" s="856">
        <f t="shared" si="401"/>
        <v>35.332999999999998</v>
      </c>
      <c r="T460" s="856">
        <f t="shared" si="401"/>
        <v>35.429000000000016</v>
      </c>
      <c r="U460" s="923">
        <f t="shared" si="401"/>
        <v>132.71600000000001</v>
      </c>
      <c r="V460" s="856">
        <f t="shared" si="401"/>
        <v>35.536999999999999</v>
      </c>
      <c r="W460" s="856">
        <f t="shared" si="401"/>
        <v>35.454999999999998</v>
      </c>
      <c r="X460" s="856">
        <f t="shared" si="401"/>
        <v>35.536000000000001</v>
      </c>
      <c r="Y460" s="855">
        <f t="shared" si="401"/>
        <v>43.585999999999999</v>
      </c>
      <c r="Z460" s="854">
        <f t="shared" si="401"/>
        <v>150.114</v>
      </c>
      <c r="AA460" s="856">
        <f t="shared" si="401"/>
        <v>46.741999999999997</v>
      </c>
      <c r="AB460" s="856">
        <f t="shared" si="401"/>
        <v>55.481999999999999</v>
      </c>
      <c r="AC460" s="856">
        <f t="shared" si="401"/>
        <v>60.688000000000002</v>
      </c>
      <c r="AD460" s="855">
        <f t="shared" si="401"/>
        <v>75.292000000000016</v>
      </c>
      <c r="AE460" s="854">
        <f t="shared" si="401"/>
        <v>238.20400000000001</v>
      </c>
      <c r="AF460" s="856">
        <f t="shared" si="401"/>
        <v>81.218999999999994</v>
      </c>
      <c r="AG460" s="856">
        <f t="shared" si="401"/>
        <v>101.605</v>
      </c>
      <c r="AH460" s="856">
        <f t="shared" si="401"/>
        <v>108.86199999999999</v>
      </c>
      <c r="AI460" s="855">
        <f t="shared" si="401"/>
        <v>128.80699999999999</v>
      </c>
      <c r="AJ460" s="854">
        <f t="shared" si="401"/>
        <v>420.49299999999999</v>
      </c>
      <c r="AK460" s="856">
        <f t="shared" si="401"/>
        <v>135.529</v>
      </c>
      <c r="AL460" s="856">
        <f t="shared" si="401"/>
        <v>152.03299999999999</v>
      </c>
      <c r="AM460" s="856">
        <f t="shared" si="401"/>
        <v>160.66</v>
      </c>
      <c r="AN460" s="855">
        <f t="shared" si="401"/>
        <v>177.80100000000004</v>
      </c>
      <c r="AO460" s="854">
        <f t="shared" si="401"/>
        <v>626.02300000000002</v>
      </c>
      <c r="AP460" s="856">
        <f t="shared" si="401"/>
        <v>184.083</v>
      </c>
      <c r="AQ460" s="856">
        <f t="shared" si="401"/>
        <v>189.15100000000001</v>
      </c>
      <c r="AR460" s="856">
        <f>AR398</f>
        <v>197.07900000000001</v>
      </c>
      <c r="AS460" s="855">
        <f>AS398</f>
        <v>197.18599999999992</v>
      </c>
      <c r="AT460" s="854">
        <f>AT398</f>
        <v>767.49900000000002</v>
      </c>
      <c r="AU460" s="856">
        <f t="shared" ref="AU460" si="402">AU398</f>
        <v>194.44</v>
      </c>
      <c r="AV460" s="856">
        <f>AV398</f>
        <v>191.322</v>
      </c>
      <c r="AW460" s="857">
        <f>AW398</f>
        <v>190.429</v>
      </c>
      <c r="AX460" s="855">
        <f>MAX(0,AX461*AVERAGE(AW456,AX456)*AX3/AY3)</f>
        <v>191.3511871561644</v>
      </c>
      <c r="AY460" s="854">
        <f>IF(OR(ISBLANK(AU460),ISBLANK(AV460),ISBLANK(AW460),ISBLANK(AX460)),"n/a",SUM(AU460,AV460,AW460,AX460))</f>
        <v>767.54218715616446</v>
      </c>
      <c r="AZ460" s="855">
        <f>MAX(0,AZ461*AVERAGE(AY456,AZ456)*AZ3/BD3)</f>
        <v>187.19137873972605</v>
      </c>
      <c r="BA460" s="855">
        <f>MAX(0,BA461*AVERAGE(AZ456,BA456)*BA3/BD3)</f>
        <v>189.27128294794522</v>
      </c>
      <c r="BB460" s="855">
        <f>MAX(0,BB461*AVERAGE(BA456,BB456)*BB3/BD3)</f>
        <v>191.3511871561644</v>
      </c>
      <c r="BC460" s="855">
        <f>MAX(0,BC461*AVERAGE(BB456,BC456)*BC3/BD3)</f>
        <v>191.3511871561644</v>
      </c>
      <c r="BD460" s="854">
        <f>IF(OR(ISBLANK(AZ460),ISBLANK(BA460),ISBLANK(BB460),ISBLANK(BC460)),"n/a",SUM(AZ460,BA460,BB460,BC460))</f>
        <v>759.1650360000001</v>
      </c>
      <c r="BE460" s="854">
        <f>MAX(0,BE461*AVERAGE(BD456,BE456))</f>
        <v>759.1650360000001</v>
      </c>
      <c r="BF460" s="854">
        <f>MAX(0,BF461*AVERAGE(BE456,BF456))</f>
        <v>759.1650360000001</v>
      </c>
      <c r="BG460" s="854">
        <f>MAX(0,BG461*AVERAGE(BF456,BG456))</f>
        <v>759.1650360000001</v>
      </c>
      <c r="BH460" s="821"/>
    </row>
    <row r="461" spans="1:60" s="57" customFormat="1" x14ac:dyDescent="0.25">
      <c r="A461" s="824" t="s">
        <v>521</v>
      </c>
      <c r="B461" s="423"/>
      <c r="C461" s="96"/>
      <c r="D461" s="15">
        <f>IFERROR(D460/AVERAGE(C456,D456),"n/a")</f>
        <v>8.9633820567968564E-2</v>
      </c>
      <c r="E461" s="15">
        <f>IFERROR(E460/AVERAGE(D456,E456),"n/a")</f>
        <v>6.674999999999999E-2</v>
      </c>
      <c r="F461" s="15">
        <f>IFERROR(F460/AVERAGE(E456,F456),"n/a")</f>
        <v>4.9965000000000002E-2</v>
      </c>
      <c r="G461" s="60">
        <f>IFERROR(G460/AVERAGE(F456,G456)*K3/G3,"n/a")</f>
        <v>4.9698989898989902E-2</v>
      </c>
      <c r="H461" s="60">
        <f>IFERROR(H460/AVERAGE(G456,H456)*K3/H3,"n/a")</f>
        <v>5.032454212454212E-2</v>
      </c>
      <c r="I461" s="60">
        <f>IFERROR(I460/AVERAGE(H456,I456)*K3/I3,"n/a")</f>
        <v>5.9003043478260866E-2</v>
      </c>
      <c r="J461" s="60">
        <f>IFERROR(J460/AVERAGE(I456,J456)*K3/J3,"n/a")</f>
        <v>5.901891304347829E-2</v>
      </c>
      <c r="K461" s="15">
        <f>IFERROR(K460/AVERAGE(G456,H456,I456,J456),"n/a")</f>
        <v>5.2985454545454544E-2</v>
      </c>
      <c r="L461" s="60">
        <f>IFERROR(L460/AVERAGE(K456,L456)*P3/L3,"n/a")</f>
        <v>5.823777777777777E-2</v>
      </c>
      <c r="M461" s="60">
        <f>IFERROR(M460/AVERAGE(L456,M456)*P3/M3,"n/a")</f>
        <v>5.9398290598290597E-2</v>
      </c>
      <c r="N461" s="60">
        <f>IFERROR(N460/AVERAGE(M456,N456)*P3/N3,"n/a")</f>
        <v>5.9449154589371979E-2</v>
      </c>
      <c r="O461" s="60">
        <f>IFERROR(O460/AVERAGE(N456,O456)*P3/O3,"n/a")</f>
        <v>5.8862862318840581E-2</v>
      </c>
      <c r="P461" s="15">
        <f>IFERROR(P460/AVERAGE(L456,M456,N456,O456),"n/a")</f>
        <v>5.5798888888888891E-2</v>
      </c>
      <c r="Q461" s="60">
        <f>IFERROR(Q460/AVERAGE(P456,Q456)*U3/Q3,"n/a")</f>
        <v>6.5717205387205394E-2</v>
      </c>
      <c r="R461" s="60">
        <f>IFERROR(R460/AVERAGE(Q456,R456)*U3/R3,"n/a")</f>
        <v>5.8856249999999999E-2</v>
      </c>
      <c r="S461" s="60">
        <f>IFERROR(S460/AVERAGE(R456,S456)*U3/S3,"n/a")</f>
        <v>5.8408265398550714E-2</v>
      </c>
      <c r="T461" s="60">
        <f>IFERROR(T460/AVERAGE(S456,T456)*U3/T3,"n/a")</f>
        <v>5.8918483452623883E-2</v>
      </c>
      <c r="U461" s="15">
        <f>IFERROR(U460/AVERAGE(Q456,R456,S456,T456),"n/a")</f>
        <v>5.5463788748142631E-2</v>
      </c>
      <c r="V461" s="60">
        <f>IFERROR(V460/AVERAGE(U456,V456)*Z3/V3,"n/a")</f>
        <v>6.0262094437970044E-2</v>
      </c>
      <c r="W461" s="60">
        <f>IFERROR(W460/AVERAGE(V456,W456)*Z3/W3,"n/a")</f>
        <v>6.0101211985506837E-2</v>
      </c>
      <c r="X461" s="60">
        <f>IFERROR(X460/AVERAGE(W456,X456)*Z3/X3,"n/a")</f>
        <v>5.9561811432348045E-2</v>
      </c>
      <c r="Y461" s="95">
        <f>IFERROR(Y460/AVERAGE(X456,Y456)*Z3/Y3,"n/a")</f>
        <v>6.0435032418570782E-2</v>
      </c>
      <c r="Z461" s="96">
        <f>IFERROR(Z460/AVERAGE(V456,W456,X456,Y456),"n/a")</f>
        <v>5.7275854240631544E-2</v>
      </c>
      <c r="AA461" s="60">
        <f>IFERROR(AA460/AVERAGE(Z456,AA456)*AE3/AA3,"n/a")</f>
        <v>5.6336417585630398E-2</v>
      </c>
      <c r="AB461" s="60">
        <f>IFERROR(AB460/AVERAGE(AA456,AB456)*AE3/AB3,"n/a")</f>
        <v>5.4264694019737117E-2</v>
      </c>
      <c r="AC461" s="60">
        <f>IFERROR(AC460/AVERAGE(AB456,AC456)*AE3/AC3,"n/a")</f>
        <v>4.9514856064014755E-2</v>
      </c>
      <c r="AD461" s="95">
        <f>IFERROR(AD460/AVERAGE(AC456,AD456)*AE3/AD3,"n/a")</f>
        <v>5.2459990628374434E-2</v>
      </c>
      <c r="AE461" s="96">
        <f>IFERROR(AE460/AVERAGE(AA456,AB456,AC456,AD456),"n/a")</f>
        <v>4.8637509017287667E-2</v>
      </c>
      <c r="AF461" s="60">
        <f>IFERROR(AF460/AVERAGE(AE456,AF456)*AJ3/AF3,"n/a")</f>
        <v>5.0512665488659993E-2</v>
      </c>
      <c r="AG461" s="60">
        <f>IFERROR(AG460/AVERAGE(AF456,AG456)*AJ3/AG3,"n/a")</f>
        <v>5.4760076759560794E-2</v>
      </c>
      <c r="AH461" s="60">
        <f>IFERROR(AH460/AVERAGE(AG456,AH456)*AJ3/AH3,"n/a")</f>
        <v>5.1790531546392037E-2</v>
      </c>
      <c r="AI461" s="95">
        <f>IFERROR(AI460/AVERAGE(AH456,AI456)*AJ3/AI3,"n/a")</f>
        <v>5.4665187157559442E-2</v>
      </c>
      <c r="AJ461" s="96">
        <f>IFERROR(AJ460/AVERAGE(AF456,AG456,AH456,AI456),"n/a")</f>
        <v>5.0086888201703074E-2</v>
      </c>
      <c r="AK461" s="60">
        <f>IFERROR(AK460/AVERAGE(AJ456,AK456)*AO3/AK3,"n/a")</f>
        <v>5.3195570720375E-2</v>
      </c>
      <c r="AL461" s="60">
        <f>IFERROR(AL460/AVERAGE(AK456,AL456)*AO3/AL3,"n/a")</f>
        <v>5.3259835344836026E-2</v>
      </c>
      <c r="AM461" s="60">
        <f>IFERROR(AM460/AVERAGE(AL456,AM456)*AO3/AM3,"n/a")</f>
        <v>5.0951568231401401E-2</v>
      </c>
      <c r="AN461" s="95">
        <f>IFERROR(AN460/AVERAGE(AM456,AN456)*AO3/AN3,"n/a")</f>
        <v>5.1896706684879744E-2</v>
      </c>
      <c r="AO461" s="96">
        <f>IFERROR(AO460/AVERAGE(AK456,AL456,AM456,AN456),"n/a")</f>
        <v>4.9997679905368894E-2</v>
      </c>
      <c r="AP461" s="60">
        <f>IFERROR(AP460/AVERAGE(AO456,AP456)*AT3/AP3,"n/a")</f>
        <v>5.0316612392875139E-2</v>
      </c>
      <c r="AQ461" s="60">
        <f>IFERROR(AQ460/AVERAGE(AP456,AQ456)*AT3/AQ3,"n/a")</f>
        <v>4.994548684138183E-2</v>
      </c>
      <c r="AR461" s="60">
        <f>IFERROR(AR460/AVERAGE(AQ456,AR456)*AT3/AR3,"n/a")</f>
        <v>4.9246222415412259E-2</v>
      </c>
      <c r="AS461" s="95">
        <f>IFERROR(AS460/AVERAGE(AR456,AS456)*AT3/AS3,"n/a")</f>
        <v>4.8488983675976753E-2</v>
      </c>
      <c r="AT461" s="96">
        <f>IFERROR(AT460/AVERAGE(AP456,AQ456,AR456,AS456),"n/a")</f>
        <v>4.8869905055042712E-2</v>
      </c>
      <c r="AU461" s="60">
        <f>IFERROR(AU460/AVERAGE(AT456,AU456)*AY3/AU3,"n/a")</f>
        <v>4.9488796110557981E-2</v>
      </c>
      <c r="AV461" s="60">
        <f>IFERROR(AV460/AVERAGE(AU456,AV456)*AY3/AV3,"n/a")</f>
        <v>4.9214792670831987E-2</v>
      </c>
      <c r="AW461" s="570">
        <f>IFERROR(AW460/AVERAGE(AV456,AW456)*AY3/AW3,"n/a")</f>
        <v>4.8555671095306271E-2</v>
      </c>
      <c r="AX461" s="87">
        <v>4.9000000000000002E-2</v>
      </c>
      <c r="AY461" s="96">
        <f>IFERROR(AY460/AVERAGE(AU456,AV456,AW456,AX456),"n/a")</f>
        <v>4.9382106156921082E-2</v>
      </c>
      <c r="AZ461" s="87">
        <v>4.9000000000000002E-2</v>
      </c>
      <c r="BA461" s="87">
        <v>4.9000000000000002E-2</v>
      </c>
      <c r="BB461" s="87">
        <v>4.9000000000000002E-2</v>
      </c>
      <c r="BC461" s="87">
        <v>4.9000000000000002E-2</v>
      </c>
      <c r="BD461" s="96">
        <f>IFERROR(BD460/AVERAGE(AZ456,BA456,BB456,BC456),"n/a")</f>
        <v>4.9000000000000002E-2</v>
      </c>
      <c r="BE461" s="42">
        <v>4.9000000000000002E-2</v>
      </c>
      <c r="BF461" s="42">
        <v>4.9000000000000002E-2</v>
      </c>
      <c r="BG461" s="42">
        <v>4.9000000000000002E-2</v>
      </c>
      <c r="BH461" s="821"/>
    </row>
    <row r="462" spans="1:60" s="57" customFormat="1" x14ac:dyDescent="0.25">
      <c r="A462" s="822" t="s">
        <v>522</v>
      </c>
      <c r="B462" s="289"/>
      <c r="C462" s="854">
        <f t="shared" ref="C462:AQ462" si="403">-C399</f>
        <v>0</v>
      </c>
      <c r="D462" s="854">
        <f t="shared" si="403"/>
        <v>0</v>
      </c>
      <c r="E462" s="854">
        <f t="shared" si="403"/>
        <v>0</v>
      </c>
      <c r="F462" s="854">
        <f t="shared" si="403"/>
        <v>0</v>
      </c>
      <c r="G462" s="855">
        <f t="shared" si="403"/>
        <v>0</v>
      </c>
      <c r="H462" s="855">
        <f t="shared" si="403"/>
        <v>0</v>
      </c>
      <c r="I462" s="855">
        <f t="shared" si="403"/>
        <v>0</v>
      </c>
      <c r="J462" s="855">
        <f t="shared" si="403"/>
        <v>0</v>
      </c>
      <c r="K462" s="854">
        <f t="shared" si="403"/>
        <v>0</v>
      </c>
      <c r="L462" s="855">
        <f t="shared" si="403"/>
        <v>0</v>
      </c>
      <c r="M462" s="855">
        <f t="shared" si="403"/>
        <v>0</v>
      </c>
      <c r="N462" s="855">
        <f t="shared" si="403"/>
        <v>0</v>
      </c>
      <c r="O462" s="855">
        <f t="shared" si="403"/>
        <v>0</v>
      </c>
      <c r="P462" s="854">
        <f t="shared" si="403"/>
        <v>0</v>
      </c>
      <c r="Q462" s="855">
        <f t="shared" si="403"/>
        <v>0</v>
      </c>
      <c r="R462" s="855">
        <f t="shared" si="403"/>
        <v>0</v>
      </c>
      <c r="S462" s="855">
        <f t="shared" si="403"/>
        <v>0</v>
      </c>
      <c r="T462" s="855">
        <f t="shared" si="403"/>
        <v>0</v>
      </c>
      <c r="U462" s="854">
        <f t="shared" si="403"/>
        <v>0</v>
      </c>
      <c r="V462" s="855">
        <f t="shared" si="403"/>
        <v>0</v>
      </c>
      <c r="W462" s="855">
        <f t="shared" si="403"/>
        <v>0</v>
      </c>
      <c r="X462" s="855">
        <f t="shared" si="403"/>
        <v>0</v>
      </c>
      <c r="Y462" s="855">
        <f t="shared" si="403"/>
        <v>0</v>
      </c>
      <c r="Z462" s="854">
        <f t="shared" si="403"/>
        <v>0</v>
      </c>
      <c r="AA462" s="855">
        <f t="shared" si="403"/>
        <v>0</v>
      </c>
      <c r="AB462" s="855">
        <f t="shared" si="403"/>
        <v>0</v>
      </c>
      <c r="AC462" s="855">
        <f t="shared" si="403"/>
        <v>0</v>
      </c>
      <c r="AD462" s="855">
        <f t="shared" si="403"/>
        <v>0</v>
      </c>
      <c r="AE462" s="854">
        <f t="shared" si="403"/>
        <v>0</v>
      </c>
      <c r="AF462" s="855">
        <f t="shared" si="403"/>
        <v>0</v>
      </c>
      <c r="AG462" s="855">
        <f t="shared" si="403"/>
        <v>0</v>
      </c>
      <c r="AH462" s="855">
        <f t="shared" si="403"/>
        <v>0</v>
      </c>
      <c r="AI462" s="855">
        <f t="shared" si="403"/>
        <v>0</v>
      </c>
      <c r="AJ462" s="854">
        <f t="shared" si="403"/>
        <v>0</v>
      </c>
      <c r="AK462" s="855">
        <f t="shared" si="403"/>
        <v>0</v>
      </c>
      <c r="AL462" s="855">
        <f t="shared" si="403"/>
        <v>0</v>
      </c>
      <c r="AM462" s="855">
        <f t="shared" si="403"/>
        <v>0</v>
      </c>
      <c r="AN462" s="855">
        <f t="shared" si="403"/>
        <v>0</v>
      </c>
      <c r="AO462" s="854">
        <f t="shared" si="403"/>
        <v>0</v>
      </c>
      <c r="AP462" s="855">
        <f t="shared" si="403"/>
        <v>0</v>
      </c>
      <c r="AQ462" s="855">
        <f t="shared" si="403"/>
        <v>0</v>
      </c>
      <c r="AR462" s="855">
        <f>-AR399</f>
        <v>0</v>
      </c>
      <c r="AS462" s="855">
        <f>-AS399</f>
        <v>0</v>
      </c>
      <c r="AT462" s="854">
        <f>-AT399</f>
        <v>0</v>
      </c>
      <c r="AU462" s="855">
        <f t="shared" ref="AU462" si="404">-AU399</f>
        <v>0</v>
      </c>
      <c r="AV462" s="855">
        <f>-AV399</f>
        <v>0</v>
      </c>
      <c r="AW462" s="863">
        <f>-AW399</f>
        <v>0</v>
      </c>
      <c r="AX462" s="855">
        <f>MAX(0,AX463*AW453*AX3/AY3)</f>
        <v>20.941379769863008</v>
      </c>
      <c r="AY462" s="854">
        <f>IF(OR(ISBLANK(AU462),ISBLANK(AV462),ISBLANK(AW462),ISBLANK(AX462)),"n/a",SUM(AU462,AV462,AW462,AX462))</f>
        <v>20.941379769863008</v>
      </c>
      <c r="AZ462" s="855">
        <f ca="1">MAX(0,AZ463*AY453*AZ3/BD3)</f>
        <v>21.547827343578561</v>
      </c>
      <c r="BA462" s="855">
        <f ca="1">MAX(0,BA463*AZ453*BA3/BD3)</f>
        <v>24.330486253595897</v>
      </c>
      <c r="BB462" s="855">
        <f ca="1">MAX(0,BB463*BA453*BB3/BD3)</f>
        <v>26.995225220868221</v>
      </c>
      <c r="BC462" s="855">
        <f ca="1">MAX(0,BC463*BB453*BC3/BD3)</f>
        <v>31.032524381021481</v>
      </c>
      <c r="BD462" s="854">
        <f ca="1">IF(OR(ISBLANK(AZ462),ISBLANK(BA462),ISBLANK(BB462),ISBLANK(BC462)),"n/a",SUM(AZ462,BA462,BB462,BC462))</f>
        <v>103.90606319906416</v>
      </c>
      <c r="BE462" s="854">
        <f ca="1">MAX(0,BE463*BD453)</f>
        <v>134.10820516379306</v>
      </c>
      <c r="BF462" s="854">
        <f ca="1">MAX(0,BF463*BE453)</f>
        <v>207.74962241865876</v>
      </c>
      <c r="BG462" s="854">
        <f ca="1">MAX(0,BG463*BF453)</f>
        <v>314.87705147178735</v>
      </c>
      <c r="BH462" s="821"/>
    </row>
    <row r="463" spans="1:60" s="57" customFormat="1" x14ac:dyDescent="0.25">
      <c r="A463" s="825" t="s">
        <v>523</v>
      </c>
      <c r="B463" s="423"/>
      <c r="C463" s="96"/>
      <c r="D463" s="96">
        <f>IFERROR(D462/AVERAGE(C453,D453),"n/a")</f>
        <v>0</v>
      </c>
      <c r="E463" s="96">
        <f>IFERROR(E462/AVERAGE(D453,E453),"n/a")</f>
        <v>0</v>
      </c>
      <c r="F463" s="96">
        <f>IFERROR(F462/AVERAGE(E453,F453),"n/a")</f>
        <v>0</v>
      </c>
      <c r="G463" s="95">
        <f>IFERROR(G462/AVERAGE(F453,G453)*K3/G3,"n/a")</f>
        <v>0</v>
      </c>
      <c r="H463" s="95">
        <f>IFERROR(H462/AVERAGE(G453,H453)*K3/H3,"n/a")</f>
        <v>0</v>
      </c>
      <c r="I463" s="95">
        <f>IFERROR(I462/AVERAGE(H453,I453)*K3/I3,"n/a")</f>
        <v>0</v>
      </c>
      <c r="J463" s="95">
        <f>IFERROR(J462/AVERAGE(I453,J453)*K3/J3,"n/a")</f>
        <v>0</v>
      </c>
      <c r="K463" s="96">
        <f>IFERROR(K462/AVERAGE(G453,H453,I453,J453),"n/a")</f>
        <v>0</v>
      </c>
      <c r="L463" s="95">
        <f>IFERROR(L462/AVERAGE(K453,L453)*P3/L3,"n/a")</f>
        <v>0</v>
      </c>
      <c r="M463" s="95">
        <f>IFERROR(M462/AVERAGE(L453,M453)*P3/M3,"n/a")</f>
        <v>0</v>
      </c>
      <c r="N463" s="95">
        <f>IFERROR(N462/AVERAGE(M453,N453)*P3/N3,"n/a")</f>
        <v>0</v>
      </c>
      <c r="O463" s="95">
        <f>IFERROR(O462/AVERAGE(N453,O453)*P3/O3,"n/a")</f>
        <v>0</v>
      </c>
      <c r="P463" s="96">
        <f>IFERROR(P462/AVERAGE(L453,M453,N453,O453),"n/a")</f>
        <v>0</v>
      </c>
      <c r="Q463" s="95">
        <f>IFERROR(Q462/AVERAGE(P453,Q453)*U3/Q3,"n/a")</f>
        <v>0</v>
      </c>
      <c r="R463" s="95">
        <f>IFERROR(R462/AVERAGE(Q453,R453)*U3/R3,"n/a")</f>
        <v>0</v>
      </c>
      <c r="S463" s="95">
        <f>IFERROR(S462/AVERAGE(R453,S453)*U3/S3,"n/a")</f>
        <v>0</v>
      </c>
      <c r="T463" s="95">
        <f>IFERROR(T462/AVERAGE(S453,T453)*U3/T3,"n/a")</f>
        <v>0</v>
      </c>
      <c r="U463" s="96">
        <f>IFERROR(U462/AVERAGE(Q453,R453,S453,T453),"n/a")</f>
        <v>0</v>
      </c>
      <c r="V463" s="95">
        <f>IFERROR(V462/AVERAGE(U453,V453)*Z3/V3,"n/a")</f>
        <v>0</v>
      </c>
      <c r="W463" s="95">
        <f>IFERROR(W462/AVERAGE(V453,W453)*Z3/W3,"n/a")</f>
        <v>0</v>
      </c>
      <c r="X463" s="95">
        <f>IFERROR(X462/AVERAGE(W453,X453)*Z3/X3,"n/a")</f>
        <v>0</v>
      </c>
      <c r="Y463" s="95">
        <f>IFERROR(Y462/AVERAGE(X453,Y453)*Z3/Y3,"n/a")</f>
        <v>0</v>
      </c>
      <c r="Z463" s="96">
        <f>IFERROR(Z462/AVERAGE(V453,W453,X453,Y453),"n/a")</f>
        <v>0</v>
      </c>
      <c r="AA463" s="95">
        <f>IFERROR(AA462/AVERAGE(Z453,AA453)*AE3/AA3,"n/a")</f>
        <v>0</v>
      </c>
      <c r="AB463" s="95">
        <f>IFERROR(AB462/AVERAGE(AA453,AB453)*AE3/AB3,"n/a")</f>
        <v>0</v>
      </c>
      <c r="AC463" s="95">
        <f>IFERROR(AC462/AVERAGE(AB453,AC453)*AE3/AC3,"n/a")</f>
        <v>0</v>
      </c>
      <c r="AD463" s="95">
        <f>IFERROR(AD462/AVERAGE(AC453,AD453)*AE3/AD3,"n/a")</f>
        <v>0</v>
      </c>
      <c r="AE463" s="96">
        <f>IFERROR(AE462/AVERAGE(AA453,AB453,AC453,AD453),"n/a")</f>
        <v>0</v>
      </c>
      <c r="AF463" s="95">
        <f>IFERROR(AF462/AVERAGE(AE453,AF453)*AJ3/AF3,"n/a")</f>
        <v>0</v>
      </c>
      <c r="AG463" s="95">
        <f>IFERROR(AG462/AVERAGE(AF453,AG453)*AJ3/AG3,"n/a")</f>
        <v>0</v>
      </c>
      <c r="AH463" s="95">
        <f>IFERROR(AH462/AVERAGE(AG453,AH453)*AJ3/AH3,"n/a")</f>
        <v>0</v>
      </c>
      <c r="AI463" s="95">
        <f>IFERROR(AI462/AVERAGE(AH453,AI453)*AJ3/AI3,"n/a")</f>
        <v>0</v>
      </c>
      <c r="AJ463" s="96">
        <f>IFERROR(AJ462/AVERAGE(AF453,AG453,AH453,AI453),"n/a")</f>
        <v>0</v>
      </c>
      <c r="AK463" s="95">
        <f>IFERROR(AK462/AVERAGE(AJ453,AK453)*AO3/AK3,"n/a")</f>
        <v>0</v>
      </c>
      <c r="AL463" s="95">
        <f>IFERROR(AL462/AVERAGE(AK453,AL453)*AO3/AL3,"n/a")</f>
        <v>0</v>
      </c>
      <c r="AM463" s="95">
        <f>IFERROR(AM462/AVERAGE(AL453,AM453)*AO3/AM3,"n/a")</f>
        <v>0</v>
      </c>
      <c r="AN463" s="95">
        <f>IFERROR(AN462/AVERAGE(AM453,AN453)*AO3/AN3,"n/a")</f>
        <v>0</v>
      </c>
      <c r="AO463" s="96">
        <f>IFERROR(AO462/AVERAGE(AK453,AL453,AM453,AN453),"n/a")</f>
        <v>0</v>
      </c>
      <c r="AP463" s="95">
        <f>IFERROR(AP462/AVERAGE(AO453,AP453)*AT3/AP3,"n/a")</f>
        <v>0</v>
      </c>
      <c r="AQ463" s="95">
        <f>IFERROR(AQ462/AVERAGE(AP453,AQ453)*AT3/AQ3,"n/a")</f>
        <v>0</v>
      </c>
      <c r="AR463" s="95">
        <f>IFERROR(AR462/AVERAGE(AQ453,AR453)*AT3/AR3,"n/a")</f>
        <v>0</v>
      </c>
      <c r="AS463" s="95">
        <f>IFERROR(AS462/AVERAGE(AR453,AS453)*AT3/AS3,"n/a")</f>
        <v>0</v>
      </c>
      <c r="AT463" s="96">
        <f>IFERROR(AT462/AVERAGE(AP453,AQ453,AR453,AS453),"n/a")</f>
        <v>0</v>
      </c>
      <c r="AU463" s="95">
        <f>IFERROR(AU462/AVERAGE(AT453,AU453)*AY3/AU3,"n/a")</f>
        <v>0</v>
      </c>
      <c r="AV463" s="95">
        <f>IFERROR(AV462/AVERAGE(AU453,AV453)*AY3/AV3,"n/a")</f>
        <v>0</v>
      </c>
      <c r="AW463" s="568">
        <f>IFERROR(AW462/AVERAGE(AV453,AW453)*AY3/AW3,"n/a")</f>
        <v>0</v>
      </c>
      <c r="AX463" s="87">
        <v>1.0999999999999999E-2</v>
      </c>
      <c r="AY463" s="96">
        <f ca="1">IFERROR(AY462/AVERAGE(AU453,AV453,AW453,AX453),"n/a")</f>
        <v>2.6392450008578955E-3</v>
      </c>
      <c r="AZ463" s="87">
        <v>1.0999999999999999E-2</v>
      </c>
      <c r="BA463" s="87">
        <v>1.0999999999999999E-2</v>
      </c>
      <c r="BB463" s="87">
        <v>1.0999999999999999E-2</v>
      </c>
      <c r="BC463" s="87">
        <v>1.0999999999999999E-2</v>
      </c>
      <c r="BD463" s="96">
        <f ca="1">IFERROR(BD462/AVERAGE(AZ453,BA453,BB453,BC453),"n/a")</f>
        <v>9.8976085236794215E-3</v>
      </c>
      <c r="BE463" s="42">
        <v>1.0999999999999999E-2</v>
      </c>
      <c r="BF463" s="42">
        <v>1.0999999999999999E-2</v>
      </c>
      <c r="BG463" s="42">
        <v>1.0999999999999999E-2</v>
      </c>
      <c r="BH463" s="821"/>
    </row>
    <row r="464" spans="1:60" s="57" customFormat="1" hidden="1" outlineLevel="1" x14ac:dyDescent="0.25">
      <c r="A464" s="822" t="s">
        <v>524</v>
      </c>
      <c r="B464" s="289"/>
      <c r="C464" s="854">
        <f t="shared" ref="C464:AQ464" si="405">IFERROR(C460-C462,"n/a")</f>
        <v>6.4749999999999996</v>
      </c>
      <c r="D464" s="854">
        <f t="shared" si="405"/>
        <v>19.629000000000001</v>
      </c>
      <c r="E464" s="854">
        <f t="shared" si="405"/>
        <v>20.024999999999999</v>
      </c>
      <c r="F464" s="854">
        <f t="shared" si="405"/>
        <v>19.986000000000001</v>
      </c>
      <c r="G464" s="855">
        <f t="shared" si="405"/>
        <v>6.74</v>
      </c>
      <c r="H464" s="855">
        <f t="shared" si="405"/>
        <v>7.5279999999999996</v>
      </c>
      <c r="I464" s="855">
        <f t="shared" si="405"/>
        <v>7.4359999999999999</v>
      </c>
      <c r="J464" s="855">
        <f t="shared" si="405"/>
        <v>7.4380000000000024</v>
      </c>
      <c r="K464" s="854">
        <f t="shared" si="405"/>
        <v>29.141999999999999</v>
      </c>
      <c r="L464" s="855">
        <f t="shared" si="405"/>
        <v>10.052</v>
      </c>
      <c r="M464" s="855">
        <f t="shared" si="405"/>
        <v>13.327999999999999</v>
      </c>
      <c r="N464" s="855">
        <f t="shared" si="405"/>
        <v>13.486000000000001</v>
      </c>
      <c r="O464" s="855">
        <f t="shared" si="405"/>
        <v>13.353000000000002</v>
      </c>
      <c r="P464" s="854">
        <f t="shared" si="405"/>
        <v>50.219000000000001</v>
      </c>
      <c r="Q464" s="855">
        <f t="shared" si="405"/>
        <v>26.736999999999998</v>
      </c>
      <c r="R464" s="855">
        <f t="shared" si="405"/>
        <v>35.216999999999999</v>
      </c>
      <c r="S464" s="855">
        <f t="shared" si="405"/>
        <v>35.332999999999998</v>
      </c>
      <c r="T464" s="855">
        <f t="shared" si="405"/>
        <v>35.429000000000016</v>
      </c>
      <c r="U464" s="854">
        <f t="shared" si="405"/>
        <v>132.71600000000001</v>
      </c>
      <c r="V464" s="855">
        <f t="shared" si="405"/>
        <v>35.536999999999999</v>
      </c>
      <c r="W464" s="855">
        <f t="shared" si="405"/>
        <v>35.454999999999998</v>
      </c>
      <c r="X464" s="855">
        <f t="shared" si="405"/>
        <v>35.536000000000001</v>
      </c>
      <c r="Y464" s="855">
        <f t="shared" si="405"/>
        <v>43.585999999999999</v>
      </c>
      <c r="Z464" s="854">
        <f t="shared" si="405"/>
        <v>150.114</v>
      </c>
      <c r="AA464" s="855">
        <f t="shared" si="405"/>
        <v>46.741999999999997</v>
      </c>
      <c r="AB464" s="855">
        <f t="shared" si="405"/>
        <v>55.481999999999999</v>
      </c>
      <c r="AC464" s="855">
        <f t="shared" si="405"/>
        <v>60.688000000000002</v>
      </c>
      <c r="AD464" s="855">
        <f t="shared" si="405"/>
        <v>75.292000000000016</v>
      </c>
      <c r="AE464" s="854">
        <f t="shared" si="405"/>
        <v>238.20400000000001</v>
      </c>
      <c r="AF464" s="855">
        <f t="shared" si="405"/>
        <v>81.218999999999994</v>
      </c>
      <c r="AG464" s="855">
        <f t="shared" si="405"/>
        <v>101.605</v>
      </c>
      <c r="AH464" s="855">
        <f t="shared" si="405"/>
        <v>108.86199999999999</v>
      </c>
      <c r="AI464" s="855">
        <f t="shared" si="405"/>
        <v>128.80699999999999</v>
      </c>
      <c r="AJ464" s="854">
        <f t="shared" si="405"/>
        <v>420.49299999999999</v>
      </c>
      <c r="AK464" s="855">
        <f t="shared" si="405"/>
        <v>135.529</v>
      </c>
      <c r="AL464" s="855">
        <f t="shared" si="405"/>
        <v>152.03299999999999</v>
      </c>
      <c r="AM464" s="855">
        <f t="shared" si="405"/>
        <v>160.66</v>
      </c>
      <c r="AN464" s="855">
        <f t="shared" si="405"/>
        <v>177.80100000000004</v>
      </c>
      <c r="AO464" s="854">
        <f t="shared" si="405"/>
        <v>626.02300000000002</v>
      </c>
      <c r="AP464" s="855">
        <f t="shared" si="405"/>
        <v>184.083</v>
      </c>
      <c r="AQ464" s="855">
        <f t="shared" si="405"/>
        <v>189.15100000000001</v>
      </c>
      <c r="AR464" s="855">
        <f t="shared" ref="AR464:AX464" si="406">IFERROR(AR460-AR462,"n/a")</f>
        <v>197.07900000000001</v>
      </c>
      <c r="AS464" s="855">
        <f t="shared" si="406"/>
        <v>197.18599999999992</v>
      </c>
      <c r="AT464" s="854">
        <f t="shared" si="406"/>
        <v>767.49900000000002</v>
      </c>
      <c r="AU464" s="855">
        <f t="shared" si="406"/>
        <v>194.44</v>
      </c>
      <c r="AV464" s="855">
        <f>IFERROR(AV460-AV462,"n/a")</f>
        <v>191.322</v>
      </c>
      <c r="AW464" s="863">
        <f>IFERROR(AW460-AW462,"n/a")</f>
        <v>190.429</v>
      </c>
      <c r="AX464" s="855">
        <f t="shared" si="406"/>
        <v>170.4098073863014</v>
      </c>
      <c r="AY464" s="854">
        <f>SUM(AU464,AV464,AW464,AX464)</f>
        <v>746.60080738630143</v>
      </c>
      <c r="AZ464" s="855">
        <f ca="1">IFERROR(AZ460-AZ462,"n/a")</f>
        <v>165.64355139614747</v>
      </c>
      <c r="BA464" s="855">
        <f ca="1">IFERROR(BA460-BA462,"n/a")</f>
        <v>164.94079669434933</v>
      </c>
      <c r="BB464" s="855">
        <f ca="1">IFERROR(BB460-BB462,"n/a")</f>
        <v>164.35596193529619</v>
      </c>
      <c r="BC464" s="855">
        <f ca="1">IFERROR(BC460-BC462,"n/a")</f>
        <v>160.31866277514291</v>
      </c>
      <c r="BD464" s="854">
        <f ca="1">SUM(AZ464,BA464,BB464,BC464)</f>
        <v>655.25897280093591</v>
      </c>
      <c r="BE464" s="854">
        <f ca="1">IFERROR(BE460-BE462,"n/a")</f>
        <v>625.05683083620704</v>
      </c>
      <c r="BF464" s="854">
        <f ca="1">IFERROR(BF460-BF462,"n/a")</f>
        <v>551.41541358134134</v>
      </c>
      <c r="BG464" s="854">
        <f ca="1">IFERROR(BG460-BG462,"n/a")</f>
        <v>444.28798452821275</v>
      </c>
      <c r="BH464" s="821"/>
    </row>
    <row r="465" spans="1:60" s="57" customFormat="1" hidden="1" outlineLevel="1" x14ac:dyDescent="0.25">
      <c r="A465" s="825" t="s">
        <v>525</v>
      </c>
      <c r="B465" s="423"/>
      <c r="C465" s="96"/>
      <c r="D465" s="96">
        <f>IFERROR(IF(D464/AVERAGE(C456,D456)&lt;0,"n/a",D464/AVERAGE(C456,D456)),"n/a")</f>
        <v>8.9633820567968564E-2</v>
      </c>
      <c r="E465" s="96">
        <f>IFERROR(IF(E464/AVERAGE(D456,E456)&lt;0,"n/a",E464/AVERAGE(D456,E456)),"n/a")</f>
        <v>6.674999999999999E-2</v>
      </c>
      <c r="F465" s="96">
        <f>IFERROR(IF(F464/AVERAGE(E456,F456)&lt;0,"n/a",F464/AVERAGE(E456,F456)),"n/a")</f>
        <v>4.9965000000000002E-2</v>
      </c>
      <c r="G465" s="95">
        <f>IFERROR(IF(G464/AVERAGE(F456,G456)&lt;0,"n/a",G464/AVERAGE(F456,G456)*K3/G3),"n/a")</f>
        <v>4.9698989898989902E-2</v>
      </c>
      <c r="H465" s="95">
        <f>IFERROR(IF(H464/AVERAGE(G456,H456)&lt;0,"n/a",H464/AVERAGE(G456,H456)*K3/H3),"n/a")</f>
        <v>5.032454212454212E-2</v>
      </c>
      <c r="I465" s="95">
        <f>IFERROR(IF(I464/AVERAGE(H456,I456)&lt;0,"n/a",I464/AVERAGE(H456,I456)*K3/I3),"n/a")</f>
        <v>5.9003043478260866E-2</v>
      </c>
      <c r="J465" s="95">
        <f>IFERROR(IF(J464/AVERAGE(I456,J456)&lt;0,"n/a",J464/AVERAGE(I456,J456)*K3/J3),"n/a")</f>
        <v>5.901891304347829E-2</v>
      </c>
      <c r="K465" s="96">
        <f>IFERROR(IF(K464/AVERAGE(G456,H456,I456,J456)&lt;0,"n/a",K464/AVERAGE(G456,H456,I456,J456)),"n/a")</f>
        <v>5.2985454545454544E-2</v>
      </c>
      <c r="L465" s="95">
        <f>IFERROR(IF(L464/AVERAGE(K456,L456)&lt;0,"n/a",L464/AVERAGE(K456,L456)*P3/L3),"n/a")</f>
        <v>5.823777777777777E-2</v>
      </c>
      <c r="M465" s="95">
        <f>IFERROR(IF(M464/AVERAGE(L456,M456)&lt;0,"n/a",M464/AVERAGE(L456,M456)*P3/M3),"n/a")</f>
        <v>5.9398290598290597E-2</v>
      </c>
      <c r="N465" s="95">
        <f>IFERROR(IF(N464/AVERAGE(M456,N456)&lt;0,"n/a",N464/AVERAGE(M456,N456)*P3/N3),"n/a")</f>
        <v>5.9449154589371979E-2</v>
      </c>
      <c r="O465" s="95">
        <f>IFERROR(IF(O464/AVERAGE(N456,O456)&lt;0,"n/a",O464/AVERAGE(N456,O456)*P3/O3),"n/a")</f>
        <v>5.8862862318840581E-2</v>
      </c>
      <c r="P465" s="96">
        <f>IFERROR(IF(P464/AVERAGE(L456,M456,N456,O456)&lt;0,"n/a",P464/AVERAGE(L456,M456,N456,O456)),"n/a")</f>
        <v>5.5798888888888891E-2</v>
      </c>
      <c r="Q465" s="95">
        <f>IFERROR(IF(Q464/AVERAGE(P456,Q456)&lt;0,"n/a",Q464/AVERAGE(P456,Q456)*U3/Q3),"n/a")</f>
        <v>6.5717205387205394E-2</v>
      </c>
      <c r="R465" s="95">
        <f>IFERROR(IF(R464/AVERAGE(Q456,R456)&lt;0,"n/a",R464/AVERAGE(Q456,R456)*U3/R3),"n/a")</f>
        <v>5.8856249999999999E-2</v>
      </c>
      <c r="S465" s="95">
        <f>IFERROR(IF(S464/AVERAGE(R456,S456)&lt;0,"n/a",S464/AVERAGE(R456,S456)*U3/S3),"n/a")</f>
        <v>5.8408265398550714E-2</v>
      </c>
      <c r="T465" s="95">
        <f>IFERROR(IF(T464/AVERAGE(S456,T456)&lt;0,"n/a",T464/AVERAGE(S456,T456)*U3/T3),"n/a")</f>
        <v>5.8918483452623883E-2</v>
      </c>
      <c r="U465" s="96">
        <f>IFERROR(IF(U464/AVERAGE(Q456,R456,S456,T456)&lt;0,"n/a",U464/AVERAGE(Q456,R456,S456,T456)),"n/a")</f>
        <v>5.5463788748142631E-2</v>
      </c>
      <c r="V465" s="95">
        <f>IFERROR(IF(V464/AVERAGE(U456,V456)&lt;0,"n/a",V464/AVERAGE(U456,V456)*Z3/V3),"n/a")</f>
        <v>6.0262094437970044E-2</v>
      </c>
      <c r="W465" s="95">
        <f>IFERROR(IF(W464/AVERAGE(V456,W456)&lt;0,"n/a",W464/AVERAGE(V456,W456)*Z3/W3),"n/a")</f>
        <v>6.0101211985506837E-2</v>
      </c>
      <c r="X465" s="95">
        <f>IFERROR(IF(X464/AVERAGE(W456,X456)&lt;0,"n/a",X464/AVERAGE(W456,X456)*Z3/X3),"n/a")</f>
        <v>5.9561811432348045E-2</v>
      </c>
      <c r="Y465" s="95">
        <f>IFERROR(IF(Y464/AVERAGE(X456,Y456)&lt;0,"n/a",Y464/AVERAGE(X456,Y456)*Z3/Y3),"n/a")</f>
        <v>6.0435032418570782E-2</v>
      </c>
      <c r="Z465" s="96">
        <f>IFERROR(IF(Z464/AVERAGE(V456,W456,X456,Y456)&lt;0,"n/a",Z464/AVERAGE(V456,W456,X456,Y456)),"n/a")</f>
        <v>5.7275854240631544E-2</v>
      </c>
      <c r="AA465" s="95">
        <f>IFERROR(IF(AA464/AVERAGE(Z456,AA456)&lt;0,"n/a",AA464/AVERAGE(Z456,AA456)*AE3/AA3),"n/a")</f>
        <v>5.6336417585630398E-2</v>
      </c>
      <c r="AB465" s="95">
        <f>IFERROR(IF(AB464/AVERAGE(AA456,AB456)&lt;0,"n/a",AB464/AVERAGE(AA456,AB456)*AE3/AB3),"n/a")</f>
        <v>5.4264694019737117E-2</v>
      </c>
      <c r="AC465" s="95">
        <f>IFERROR(IF(AC464/AVERAGE(AB456,AC456)&lt;0,"n/a",AC464/AVERAGE(AB456,AC456)*AE3/AC3),"n/a")</f>
        <v>4.9514856064014755E-2</v>
      </c>
      <c r="AD465" s="95">
        <f>IFERROR(IF(AD464/AVERAGE(AC456,AD456)&lt;0,"n/a",AD464/AVERAGE(AC456,AD456)*AE3/AD3),"n/a")</f>
        <v>5.2459990628374434E-2</v>
      </c>
      <c r="AE465" s="96">
        <f>IFERROR(IF(AE464/AVERAGE(AA456,AB456,AC456,AD456)&lt;0,"n/a",AE464/AVERAGE(AA456,AB456,AC456,AD456)),"n/a")</f>
        <v>4.8637509017287667E-2</v>
      </c>
      <c r="AF465" s="95">
        <f>IFERROR(IF(AF464/AVERAGE(AE456,AF456)&lt;0,"n/a",AF464/AVERAGE(AE456,AF456)*AJ3/AF3),"n/a")</f>
        <v>5.0512665488659993E-2</v>
      </c>
      <c r="AG465" s="95">
        <f>IFERROR(IF(AG464/AVERAGE(AF456,AG456)&lt;0,"n/a",AG464/AVERAGE(AF456,AG456)*AJ3/AG3),"n/a")</f>
        <v>5.4760076759560794E-2</v>
      </c>
      <c r="AH465" s="95">
        <f>IFERROR(IF(AH464/AVERAGE(AG456,AH456)&lt;0,"n/a",AH464/AVERAGE(AG456,AH456)*AJ3/AH3),"n/a")</f>
        <v>5.1790531546392037E-2</v>
      </c>
      <c r="AI465" s="95">
        <f>IFERROR(IF(AI464/AVERAGE(AH456,AI456)&lt;0,"n/a",AI464/AVERAGE(AH456,AI456)*AJ3/AI3),"n/a")</f>
        <v>5.4665187157559442E-2</v>
      </c>
      <c r="AJ465" s="96">
        <f>IFERROR(IF(AJ464/AVERAGE(AF456,AG456,AH456,AI456)&lt;0,"n/a",AJ464/AVERAGE(AF456,AG456,AH456,AI456)),"n/a")</f>
        <v>5.0086888201703074E-2</v>
      </c>
      <c r="AK465" s="95">
        <f>IFERROR(IF(AK464/AVERAGE(AJ456,AK456)&lt;0,"n/a",AK464/AVERAGE(AJ456,AK456)*AO3/AK3),"n/a")</f>
        <v>5.3195570720375E-2</v>
      </c>
      <c r="AL465" s="95">
        <f>IFERROR(IF(AL464/AVERAGE(AK456,AL456)&lt;0,"n/a",AL464/AVERAGE(AK456,AL456)*AO3/AL3),"n/a")</f>
        <v>5.3259835344836026E-2</v>
      </c>
      <c r="AM465" s="95">
        <f>IFERROR(IF(AM464/AVERAGE(AL456,AM456)&lt;0,"n/a",AM464/AVERAGE(AL456,AM456)*AO3/AM3),"n/a")</f>
        <v>5.0951568231401401E-2</v>
      </c>
      <c r="AN465" s="95">
        <f>IFERROR(IF(AN464/AVERAGE(AM456,AN456)&lt;0,"n/a",AN464/AVERAGE(AM456,AN456)*AO3/AN3),"n/a")</f>
        <v>5.1896706684879744E-2</v>
      </c>
      <c r="AO465" s="96">
        <f>IFERROR(IF(AO464/AVERAGE(AK456,AL456,AM456,AN456)&lt;0,"n/a",AO464/AVERAGE(AK456,AL456,AM456,AN456)),"n/a")</f>
        <v>4.9997679905368894E-2</v>
      </c>
      <c r="AP465" s="95">
        <f>IFERROR(IF(AP464/AVERAGE(AO456,AP456)&lt;0,"n/a",AP464/AVERAGE(AO456,AP456)*AT3/AP3),"n/a")</f>
        <v>5.0316612392875139E-2</v>
      </c>
      <c r="AQ465" s="95">
        <f>IFERROR(IF(AQ464/AVERAGE(AP456,AQ456)&lt;0,"n/a",AQ464/AVERAGE(AP456,AQ456)*AT3/AQ3),"n/a")</f>
        <v>4.994548684138183E-2</v>
      </c>
      <c r="AR465" s="95">
        <f>IFERROR(IF(AR464/AVERAGE(AQ456,AR456)&lt;0,"n/a",AR464/AVERAGE(AQ456,AR456)*AT3/AR3),"n/a")</f>
        <v>4.9246222415412259E-2</v>
      </c>
      <c r="AS465" s="95">
        <f>IFERROR(IF(AS464/AVERAGE(AR456,AS456)&lt;0,"n/a",AS464/AVERAGE(AR456,AS456)*AT3/AS3),"n/a")</f>
        <v>4.8488983675976753E-2</v>
      </c>
      <c r="AT465" s="96">
        <f>IFERROR(IF(AT464/AVERAGE(AP456,AQ456,AR456,AS456)&lt;0,"n/a",AT464/AVERAGE(AP456,AQ456,AR456,AS456)),"n/a")</f>
        <v>4.8869905055042712E-2</v>
      </c>
      <c r="AU465" s="95">
        <f>IFERROR(IF(AU464/AVERAGE(AT456,AU456)&lt;0,"n/a",AU464/AVERAGE(AT456,AU456)*AY3/AU3),"n/a")</f>
        <v>4.9488796110557981E-2</v>
      </c>
      <c r="AV465" s="95">
        <f>IFERROR(IF(AV464/AVERAGE(AU456,AV456)&lt;0,"n/a",AV464/AVERAGE(AU456,AV456)*AY3/AV3),"n/a")</f>
        <v>4.9214792670831987E-2</v>
      </c>
      <c r="AW465" s="568">
        <f>IFERROR(IF(AW464/AVERAGE(AV456,AW456)&lt;0,"n/a",AW464/AVERAGE(AV456,AW456)*AY3/AW3),"n/a")</f>
        <v>4.8555671095306271E-2</v>
      </c>
      <c r="AX465" s="95">
        <f>IFERROR(IF(AX464/AVERAGE(AW456,AX456)&lt;0,"n/a",AX464/AVERAGE(AW456,AX456)*AY3/AX3),"n/a")</f>
        <v>4.3637464109977805E-2</v>
      </c>
      <c r="AY465" s="96">
        <f>IFERROR(IF(AY464/AVERAGE(AU456,AV456,AW456,AX456)&lt;0,"n/a",AY464/AVERAGE(AU456,AV456,AW456,AX456)),"n/a")</f>
        <v>4.8034780295004159E-2</v>
      </c>
      <c r="AZ465" s="95">
        <f ca="1">IFERROR(IF(AZ464/AVERAGE(AY456,AZ456)&lt;0,"n/a",AZ464/AVERAGE(AY456,AZ456)*BD3/AZ3),"n/a")</f>
        <v>4.3359550386647815E-2</v>
      </c>
      <c r="BA465" s="95">
        <f ca="1">IFERROR(IF(BA464/AVERAGE(AZ456,BA456)&lt;0,"n/a",BA464/AVERAGE(AZ456,BA456)*BD3/BA3),"n/a")</f>
        <v>4.2701137288988077E-2</v>
      </c>
      <c r="BB465" s="95">
        <f ca="1">IFERROR(IF(BB464/AVERAGE(BA456,BB456)&lt;0,"n/a",BB464/AVERAGE(BA456,BB456)*BD3/BB3),"n/a")</f>
        <v>4.2087233711578631E-2</v>
      </c>
      <c r="BC465" s="95">
        <f ca="1">IFERROR(IF(BC464/AVERAGE(BB456,BC456)&lt;0,"n/a",BC464/AVERAGE(BB456,BC456)*BD3/BC3),"n/a")</f>
        <v>4.1053387714657476E-2</v>
      </c>
      <c r="BD465" s="96">
        <f ca="1">IFERROR(IF(BD464/AVERAGE(AZ456,BA456,BB456,BC456)&lt;0,"n/a",BD464/AVERAGE(AZ456,BA456,BB456,BC456)),"n/a")</f>
        <v>4.2293425203588877E-2</v>
      </c>
      <c r="BE465" s="96">
        <f ca="1">IFERROR(IF(BE464/AVERAGE(BD456,BE456)&lt;0,"n/a",BE464/AVERAGE(BD456,BE456)),"n/a")</f>
        <v>4.0344040173860354E-2</v>
      </c>
      <c r="BF465" s="96">
        <f ca="1">IFERROR(IF(BF464/AVERAGE(BE456,BF456)&lt;0,"n/a",BF464/AVERAGE(BE456,BF456)),"n/a")</f>
        <v>3.5590884701236065E-2</v>
      </c>
      <c r="BG465" s="96">
        <f ca="1">IFERROR(IF(BG464/AVERAGE(BF456,BG456)&lt;0,"n/a",BG464/AVERAGE(BF456,BG456)),"n/a")</f>
        <v>2.8676388149522766E-2</v>
      </c>
      <c r="BH465" s="821"/>
    </row>
    <row r="466" spans="1:60" s="57" customFormat="1" collapsed="1" x14ac:dyDescent="0.25">
      <c r="A466" s="825"/>
      <c r="B466" s="423"/>
      <c r="C466" s="96"/>
      <c r="D466" s="96"/>
      <c r="E466" s="96"/>
      <c r="F466" s="96"/>
      <c r="G466" s="95"/>
      <c r="H466" s="95"/>
      <c r="I466" s="95"/>
      <c r="J466" s="95"/>
      <c r="K466" s="96"/>
      <c r="L466" s="95"/>
      <c r="M466" s="95"/>
      <c r="N466" s="95"/>
      <c r="O466" s="95"/>
      <c r="P466" s="96"/>
      <c r="Q466" s="95"/>
      <c r="R466" s="95"/>
      <c r="S466" s="95"/>
      <c r="T466" s="95"/>
      <c r="U466" s="96"/>
      <c r="V466" s="95"/>
      <c r="W466" s="95"/>
      <c r="X466" s="95"/>
      <c r="Y466" s="95"/>
      <c r="Z466" s="96"/>
      <c r="AA466" s="95"/>
      <c r="AB466" s="95"/>
      <c r="AC466" s="95"/>
      <c r="AD466" s="95"/>
      <c r="AE466" s="96"/>
      <c r="AF466" s="95"/>
      <c r="AG466" s="95"/>
      <c r="AH466" s="95"/>
      <c r="AI466" s="95"/>
      <c r="AJ466" s="96"/>
      <c r="AK466" s="95"/>
      <c r="AL466" s="95"/>
      <c r="AM466" s="95"/>
      <c r="AN466" s="95"/>
      <c r="AO466" s="96"/>
      <c r="AP466" s="95"/>
      <c r="AQ466" s="95"/>
      <c r="AR466" s="95"/>
      <c r="AS466" s="95"/>
      <c r="AT466" s="96"/>
      <c r="AU466" s="95"/>
      <c r="AV466" s="95"/>
      <c r="AW466" s="568"/>
      <c r="AX466" s="95"/>
      <c r="AY466" s="96"/>
      <c r="AZ466" s="95"/>
      <c r="BA466" s="95"/>
      <c r="BB466" s="95"/>
      <c r="BC466" s="95"/>
      <c r="BD466" s="96"/>
      <c r="BE466" s="96"/>
      <c r="BF466" s="96"/>
      <c r="BG466" s="96"/>
      <c r="BH466" s="821"/>
    </row>
    <row r="467" spans="1:60" s="57" customFormat="1" x14ac:dyDescent="0.25">
      <c r="A467" s="825" t="s">
        <v>526</v>
      </c>
      <c r="B467" s="423"/>
      <c r="C467" s="103">
        <f t="shared" ref="C467:AH467" si="407">IFERROR(IF(OR(C395&lt;0,C464&lt;0),"n/a",C395/C464),"n/a")</f>
        <v>37.467335907335915</v>
      </c>
      <c r="D467" s="103">
        <f t="shared" si="407"/>
        <v>17.817311121300115</v>
      </c>
      <c r="E467" s="103">
        <f t="shared" si="407"/>
        <v>24.039800249687897</v>
      </c>
      <c r="F467" s="103">
        <f t="shared" si="407"/>
        <v>8.4763834684279082</v>
      </c>
      <c r="G467" s="424">
        <f t="shared" si="407"/>
        <v>9.142284866468847</v>
      </c>
      <c r="H467" s="424">
        <f t="shared" si="407"/>
        <v>11.569872476089277</v>
      </c>
      <c r="I467" s="424">
        <f t="shared" si="407"/>
        <v>11.706428187197426</v>
      </c>
      <c r="J467" s="424">
        <f t="shared" si="407"/>
        <v>15.334095186878066</v>
      </c>
      <c r="K467" s="103">
        <f t="shared" si="407"/>
        <v>12.004014823965409</v>
      </c>
      <c r="L467" s="424">
        <f t="shared" si="407"/>
        <v>13.509948269001185</v>
      </c>
      <c r="M467" s="424">
        <f t="shared" si="407"/>
        <v>12.894807923169266</v>
      </c>
      <c r="N467" s="424">
        <f t="shared" si="407"/>
        <v>11.466854515794161</v>
      </c>
      <c r="O467" s="424">
        <f t="shared" si="407"/>
        <v>8.2085673631393465</v>
      </c>
      <c r="P467" s="103">
        <f t="shared" si="407"/>
        <v>11.388418725980202</v>
      </c>
      <c r="Q467" s="424">
        <f t="shared" si="407"/>
        <v>5.2385832367131613</v>
      </c>
      <c r="R467" s="424">
        <f t="shared" si="407"/>
        <v>3.3792202629411929</v>
      </c>
      <c r="S467" s="424">
        <f t="shared" si="407"/>
        <v>3.4676364871366685</v>
      </c>
      <c r="T467" s="424">
        <f t="shared" si="407"/>
        <v>3.1398571791470467</v>
      </c>
      <c r="U467" s="103">
        <f t="shared" si="407"/>
        <v>3.7134482654691268</v>
      </c>
      <c r="V467" s="424">
        <f t="shared" si="407"/>
        <v>3.0017446604946998</v>
      </c>
      <c r="W467" s="424">
        <f t="shared" si="407"/>
        <v>3.6274996474404246</v>
      </c>
      <c r="X467" s="424">
        <f t="shared" si="407"/>
        <v>4.6133779828905901</v>
      </c>
      <c r="Y467" s="424">
        <f t="shared" si="407"/>
        <v>4.8586472720598195</v>
      </c>
      <c r="Z467" s="103">
        <f t="shared" si="407"/>
        <v>4.0702133045552022</v>
      </c>
      <c r="AA467" s="424">
        <f t="shared" si="407"/>
        <v>6.7793205254375133</v>
      </c>
      <c r="AB467" s="424">
        <f t="shared" si="407"/>
        <v>3.4314912944738833</v>
      </c>
      <c r="AC467" s="424">
        <f t="shared" si="407"/>
        <v>4.4922884260479803</v>
      </c>
      <c r="AD467" s="424">
        <f t="shared" si="407"/>
        <v>4.1558996971789801</v>
      </c>
      <c r="AE467" s="103">
        <f t="shared" si="407"/>
        <v>4.5876601568403546</v>
      </c>
      <c r="AF467" s="424">
        <f t="shared" si="407"/>
        <v>6.5749886110392906</v>
      </c>
      <c r="AG467" s="424">
        <f t="shared" si="407"/>
        <v>5.5428473008218093</v>
      </c>
      <c r="AH467" s="424">
        <f t="shared" si="407"/>
        <v>5.3659219929819386</v>
      </c>
      <c r="AI467" s="424">
        <f t="shared" ref="AI467:AY467" si="408">IFERROR(IF(OR(AI395&lt;0,AI464&lt;0),"n/a",AI395/AI464),"n/a")</f>
        <v>2.5441163911899203</v>
      </c>
      <c r="AJ467" s="103">
        <f t="shared" si="408"/>
        <v>4.7778203204333947</v>
      </c>
      <c r="AK467" s="424">
        <f t="shared" si="408"/>
        <v>4.3078972028126845</v>
      </c>
      <c r="AL467" s="424">
        <f t="shared" si="408"/>
        <v>5.4972473081502038</v>
      </c>
      <c r="AM467" s="424">
        <f t="shared" si="408"/>
        <v>6.8916033860326138</v>
      </c>
      <c r="AN467" s="424">
        <f t="shared" si="408"/>
        <v>3.2980466926507734</v>
      </c>
      <c r="AO467" s="103">
        <f t="shared" si="408"/>
        <v>4.9729946024347358</v>
      </c>
      <c r="AP467" s="424">
        <f t="shared" si="408"/>
        <v>5.8875181304085649</v>
      </c>
      <c r="AQ467" s="424">
        <f t="shared" si="408"/>
        <v>7.8709549513351789</v>
      </c>
      <c r="AR467" s="424">
        <f>IFERROR(IF(OR(AR395&lt;0,AR464&lt;0),"n/a",AR395/AR464),"n/a")</f>
        <v>7.3564864851151022</v>
      </c>
      <c r="AS467" s="424">
        <f>IFERROR(IF(OR(AS395&lt;0,AS464&lt;0),"n/a",AS395/AS464),"n/a")</f>
        <v>5.5469404521619374</v>
      </c>
      <c r="AT467" s="103">
        <f>IFERROR(IF(OR(AT395&lt;0,AT464&lt;0),"n/a",AT395/AT464),"n/a")</f>
        <v>6.6660399557523862</v>
      </c>
      <c r="AU467" s="424">
        <f t="shared" ref="AU467" si="409">IFERROR(IF(OR(AU395&lt;0,AU464&lt;0),"n/a",AU395/AU464),"n/a")</f>
        <v>10.814786052252623</v>
      </c>
      <c r="AV467" s="424">
        <f>IFERROR(IF(OR(AV395&lt;0,AV464&lt;0),"n/a",AV395/AV464),"n/a")</f>
        <v>10.38901433185938</v>
      </c>
      <c r="AW467" s="589">
        <f>IFERROR(IF(OR(AW395&lt;0,AW464&lt;0),"n/a",AW395/AW464),"n/a")</f>
        <v>10.085564698654089</v>
      </c>
      <c r="AX467" s="424">
        <f t="shared" si="408"/>
        <v>4.1382474270411311</v>
      </c>
      <c r="AY467" s="103">
        <f t="shared" si="408"/>
        <v>8.9957791104876925</v>
      </c>
      <c r="AZ467" s="424">
        <f t="shared" ref="AZ467:BG467" ca="1" si="410">IFERROR(IF(OR(AZ395&lt;0,AZ464&lt;0),"n/a",AZ395/AZ464),"n/a")</f>
        <v>14.243009237582923</v>
      </c>
      <c r="BA467" s="424">
        <f t="shared" ca="1" si="410"/>
        <v>14.057277847038142</v>
      </c>
      <c r="BB467" s="424">
        <f t="shared" ca="1" si="410"/>
        <v>14.182361688136456</v>
      </c>
      <c r="BC467" s="424">
        <f t="shared" ca="1" si="410"/>
        <v>10.364532557012906</v>
      </c>
      <c r="BD467" s="103">
        <f t="shared" ca="1" si="410"/>
        <v>13.232119356811019</v>
      </c>
      <c r="BE467" s="103">
        <f t="shared" ca="1" si="410"/>
        <v>17.463553914023731</v>
      </c>
      <c r="BF467" s="103">
        <f t="shared" ca="1" si="410"/>
        <v>24.410944738341648</v>
      </c>
      <c r="BG467" s="103">
        <f t="shared" ca="1" si="410"/>
        <v>38.246972301484753</v>
      </c>
      <c r="BH467" s="821"/>
    </row>
    <row r="468" spans="1:60" customFormat="1" x14ac:dyDescent="0.25">
      <c r="A468" s="74" t="s">
        <v>126</v>
      </c>
      <c r="B468" s="520"/>
      <c r="C468" s="39" t="str">
        <f>IF(C458&lt;0,"n/a",C458/C395)</f>
        <v>n/a</v>
      </c>
      <c r="D468" s="39" t="str">
        <f>IF(D458&lt;0,"n/a",D458/D395)</f>
        <v>n/a</v>
      </c>
      <c r="E468" s="39" t="str">
        <f>IF(E458&lt;0,"n/a",E458/E395)</f>
        <v>n/a</v>
      </c>
      <c r="F468" s="39" t="str">
        <f>IF(F458&lt;0,"n/a",F458/F395)</f>
        <v>n/a</v>
      </c>
      <c r="G468" s="424"/>
      <c r="H468" s="424"/>
      <c r="I468" s="424"/>
      <c r="J468" s="424"/>
      <c r="K468" s="39" t="str">
        <f>IF(K458&lt;0,"n/a",K458/K395)</f>
        <v>n/a</v>
      </c>
      <c r="L468" s="424"/>
      <c r="M468" s="424"/>
      <c r="N468" s="424"/>
      <c r="O468" s="424"/>
      <c r="P468" s="39" t="str">
        <f>IF(P458&lt;0,"n/a",P458/P395)</f>
        <v>n/a</v>
      </c>
      <c r="Q468" s="424"/>
      <c r="R468" s="424"/>
      <c r="S468" s="424"/>
      <c r="T468" s="424"/>
      <c r="U468" s="39">
        <f>IF(U458&lt;0,"n/a",U458/U395)</f>
        <v>0.12305766241777119</v>
      </c>
      <c r="V468" s="424"/>
      <c r="W468" s="521"/>
      <c r="X468" s="424"/>
      <c r="Y468" s="521"/>
      <c r="Z468" s="103">
        <f>IF(Z458&lt;0,"n/a",Z458/Z395)</f>
        <v>2.6686410385665389</v>
      </c>
      <c r="AA468" s="521"/>
      <c r="AB468" s="521"/>
      <c r="AC468" s="424"/>
      <c r="AD468" s="521"/>
      <c r="AE468" s="103">
        <f>IF(AE458&lt;0,"n/a",AE458/AE395)</f>
        <v>3.360395644578738</v>
      </c>
      <c r="AF468" s="521"/>
      <c r="AG468" s="521"/>
      <c r="AH468" s="424"/>
      <c r="AI468" s="521"/>
      <c r="AJ468" s="103">
        <f>IF(AJ458&lt;0,"n/a",AJ458/AJ395)</f>
        <v>3.2592765699040349</v>
      </c>
      <c r="AK468" s="521"/>
      <c r="AL468" s="521"/>
      <c r="AM468" s="424"/>
      <c r="AN468" s="521"/>
      <c r="AO468" s="103">
        <f>IF(AO458&lt;0,"n/a",AO458/AO395)</f>
        <v>3.638916629111633</v>
      </c>
      <c r="AP468" s="521"/>
      <c r="AQ468" s="521"/>
      <c r="AR468" s="424"/>
      <c r="AS468" s="521"/>
      <c r="AT468" s="103">
        <f>IF(AT458&lt;0,"n/a",AT458/AT395)</f>
        <v>2.0077397604735876</v>
      </c>
      <c r="AU468" s="521"/>
      <c r="AV468" s="521"/>
      <c r="AW468" s="589"/>
      <c r="AX468" s="521"/>
      <c r="AY468" s="103">
        <f ca="1">IF(AY458&lt;0,"n/a",AY458/AY395)</f>
        <v>1.4981869495677598</v>
      </c>
      <c r="AZ468" s="521"/>
      <c r="BA468" s="521"/>
      <c r="BB468" s="521"/>
      <c r="BC468" s="521"/>
      <c r="BD468" s="103">
        <f ca="1">IF(BD458&lt;0,"n/a",BD458/BD395)</f>
        <v>0.67066218788453713</v>
      </c>
      <c r="BE468" s="103" t="str">
        <f ca="1">IF(BE458&lt;0,"n/a",BE458/BE395)</f>
        <v>n/a</v>
      </c>
      <c r="BF468" s="103" t="str">
        <f ca="1">IF(BF458&lt;0,"n/a",BF458/BF395)</f>
        <v>n/a</v>
      </c>
      <c r="BG468" s="103" t="str">
        <f ca="1">IF(BG458&lt;0,"n/a",BG458/BG395)</f>
        <v>n/a</v>
      </c>
      <c r="BH468" s="111"/>
    </row>
    <row r="469" spans="1:60" customFormat="1" x14ac:dyDescent="0.25">
      <c r="A469" s="74" t="s">
        <v>127</v>
      </c>
      <c r="B469" s="520"/>
      <c r="C469" s="39" t="str">
        <f>IF(C458&lt;0,"n/a",C458/C430)</f>
        <v>n/a</v>
      </c>
      <c r="D469" s="39" t="str">
        <f>IF(D458&lt;0,"n/a",D458/D430)</f>
        <v>n/a</v>
      </c>
      <c r="E469" s="39" t="str">
        <f>IF(E458&lt;0,"n/a",E458/E430)</f>
        <v>n/a</v>
      </c>
      <c r="F469" s="39" t="str">
        <f>IF(F458&lt;0,"n/a",F458/F430)</f>
        <v>n/a</v>
      </c>
      <c r="G469" s="424"/>
      <c r="H469" s="424"/>
      <c r="I469" s="424"/>
      <c r="J469" s="424"/>
      <c r="K469" s="39" t="str">
        <f>IF(K458&lt;0,"n/a",K458/K430)</f>
        <v>n/a</v>
      </c>
      <c r="L469" s="424"/>
      <c r="M469" s="424"/>
      <c r="N469" s="424"/>
      <c r="O469" s="424"/>
      <c r="P469" s="39" t="str">
        <f>IF(P458&lt;0,"n/a",P458/P430)</f>
        <v>n/a</v>
      </c>
      <c r="Q469" s="424"/>
      <c r="R469" s="424"/>
      <c r="S469" s="424"/>
      <c r="T469" s="424"/>
      <c r="U469" s="39">
        <f>IF(U458&lt;0,"n/a",U458/U430)</f>
        <v>-6.5754407877474941E-2</v>
      </c>
      <c r="V469" s="424"/>
      <c r="W469" s="521"/>
      <c r="X469" s="424"/>
      <c r="Y469" s="521"/>
      <c r="Z469" s="103">
        <f>IF(Z458&lt;0,"n/a",Z458/Z430)</f>
        <v>-0.9784950947091986</v>
      </c>
      <c r="AA469" s="521"/>
      <c r="AB469" s="521"/>
      <c r="AC469" s="424"/>
      <c r="AD469" s="521"/>
      <c r="AE469" s="103">
        <f>IF(AE458&lt;0,"n/a",AE458/AE430)</f>
        <v>-1.9904532704581472</v>
      </c>
      <c r="AF469" s="521"/>
      <c r="AG469" s="521"/>
      <c r="AH469" s="424"/>
      <c r="AI469" s="521"/>
      <c r="AJ469" s="103">
        <f>IF(AJ458&lt;0,"n/a",AJ458/AJ430)</f>
        <v>-2.201572095919436</v>
      </c>
      <c r="AK469" s="521"/>
      <c r="AL469" s="521"/>
      <c r="AM469" s="424"/>
      <c r="AN469" s="521"/>
      <c r="AO469" s="103">
        <f>IF(AO458&lt;0,"n/a",AO458/AO430)</f>
        <v>-3.8659716451704784</v>
      </c>
      <c r="AP469" s="521"/>
      <c r="AQ469" s="521"/>
      <c r="AR469" s="424"/>
      <c r="AS469" s="521"/>
      <c r="AT469" s="103">
        <f>IF(AT458&lt;0,"n/a",AT458/AT430)</f>
        <v>4.1773748957888541</v>
      </c>
      <c r="AU469" s="521"/>
      <c r="AV469" s="521"/>
      <c r="AW469" s="589"/>
      <c r="AX469" s="521"/>
      <c r="AY469" s="103">
        <f ca="1">IF(AY458&lt;0,"n/a",AY458/AY430)</f>
        <v>7.8566470489935165</v>
      </c>
      <c r="AZ469" s="521"/>
      <c r="BA469" s="521"/>
      <c r="BB469" s="521"/>
      <c r="BC469" s="521"/>
      <c r="BD469" s="103">
        <f ca="1">IF(BD458&lt;0,"n/a",BD458/BD430)</f>
        <v>1.3061778107286559</v>
      </c>
      <c r="BE469" s="103" t="str">
        <f ca="1">IF(BE458&lt;0,"n/a",BE458/BE430)</f>
        <v>n/a</v>
      </c>
      <c r="BF469" s="103" t="str">
        <f ca="1">IF(BF458&lt;0,"n/a",BF458/BF430)</f>
        <v>n/a</v>
      </c>
      <c r="BG469" s="103" t="str">
        <f ca="1">IF(BG458&lt;0,"n/a",BG458/BG430)</f>
        <v>n/a</v>
      </c>
      <c r="BH469" s="111"/>
    </row>
    <row r="470" spans="1:60" customFormat="1" x14ac:dyDescent="0.25">
      <c r="A470" s="522"/>
      <c r="B470" s="522"/>
      <c r="C470" s="550"/>
      <c r="D470" s="550"/>
      <c r="E470" s="550"/>
      <c r="F470" s="550"/>
      <c r="G470" s="479"/>
      <c r="H470" s="479"/>
      <c r="I470" s="479"/>
      <c r="J470" s="479"/>
      <c r="K470" s="550"/>
      <c r="L470" s="479"/>
      <c r="M470" s="479"/>
      <c r="N470" s="479"/>
      <c r="O470" s="479"/>
      <c r="P470" s="550"/>
      <c r="Q470" s="479"/>
      <c r="R470" s="479"/>
      <c r="S470" s="479"/>
      <c r="T470" s="479"/>
      <c r="U470" s="550"/>
      <c r="V470" s="479"/>
      <c r="W470" s="479"/>
      <c r="X470" s="479"/>
      <c r="Y470" s="479"/>
      <c r="Z470" s="550"/>
      <c r="AA470" s="479"/>
      <c r="AB470" s="479"/>
      <c r="AC470" s="479"/>
      <c r="AD470" s="479"/>
      <c r="AE470" s="550"/>
      <c r="AF470" s="479"/>
      <c r="AG470" s="479"/>
      <c r="AH470" s="479"/>
      <c r="AI470" s="479"/>
      <c r="AJ470" s="550"/>
      <c r="AK470" s="479"/>
      <c r="AL470" s="479"/>
      <c r="AM470" s="479"/>
      <c r="AN470" s="479"/>
      <c r="AO470" s="550"/>
      <c r="AP470" s="479"/>
      <c r="AQ470" s="479"/>
      <c r="AR470" s="479"/>
      <c r="AS470" s="479"/>
      <c r="AT470" s="550"/>
      <c r="AU470" s="479"/>
      <c r="AV470" s="479"/>
      <c r="AW470" s="590"/>
      <c r="AX470" s="479"/>
      <c r="AY470" s="550"/>
      <c r="AZ470" s="479"/>
      <c r="BA470" s="479"/>
      <c r="BB470" s="479"/>
      <c r="BC470" s="479"/>
      <c r="BD470" s="550"/>
      <c r="BE470" s="550"/>
      <c r="BF470" s="550"/>
      <c r="BG470" s="550"/>
      <c r="BH470" s="278"/>
    </row>
    <row r="471" spans="1:60" customFormat="1" x14ac:dyDescent="0.25">
      <c r="A471" s="819" t="s">
        <v>128</v>
      </c>
      <c r="B471" s="819"/>
      <c r="C471" s="861"/>
      <c r="D471" s="861"/>
      <c r="E471" s="861"/>
      <c r="F471" s="861"/>
      <c r="G471" s="861"/>
      <c r="H471" s="861"/>
      <c r="I471" s="861"/>
      <c r="J471" s="861"/>
      <c r="K471" s="861"/>
      <c r="L471" s="861"/>
      <c r="M471" s="861"/>
      <c r="N471" s="861"/>
      <c r="O471" s="861"/>
      <c r="P471" s="861"/>
      <c r="Q471" s="861"/>
      <c r="R471" s="861"/>
      <c r="S471" s="861"/>
      <c r="T471" s="861"/>
      <c r="U471" s="861"/>
      <c r="V471" s="861"/>
      <c r="W471" s="861"/>
      <c r="X471" s="861"/>
      <c r="Y471" s="861"/>
      <c r="Z471" s="861"/>
      <c r="AA471" s="861"/>
      <c r="AB471" s="861"/>
      <c r="AC471" s="861"/>
      <c r="AD471" s="861"/>
      <c r="AE471" s="861"/>
      <c r="AF471" s="861"/>
      <c r="AG471" s="861"/>
      <c r="AH471" s="861"/>
      <c r="AI471" s="861"/>
      <c r="AJ471" s="861"/>
      <c r="AK471" s="861"/>
      <c r="AL471" s="861"/>
      <c r="AM471" s="861"/>
      <c r="AN471" s="861"/>
      <c r="AO471" s="861"/>
      <c r="AP471" s="861"/>
      <c r="AQ471" s="861"/>
      <c r="AR471" s="861"/>
      <c r="AS471" s="861"/>
      <c r="AT471" s="861"/>
      <c r="AU471" s="861"/>
      <c r="AV471" s="861"/>
      <c r="AW471" s="862"/>
      <c r="AX471" s="861"/>
      <c r="AY471" s="861"/>
      <c r="AZ471" s="861"/>
      <c r="BA471" s="861"/>
      <c r="BB471" s="861"/>
      <c r="BC471" s="861"/>
      <c r="BD471" s="861"/>
      <c r="BE471" s="861"/>
      <c r="BF471" s="861"/>
      <c r="BG471" s="861"/>
      <c r="BH471" s="824"/>
    </row>
    <row r="472" spans="1:60" customFormat="1" x14ac:dyDescent="0.25">
      <c r="A472" s="182" t="str">
        <f>"Stock Price (Reporting Cur.) - "&amp;MO.ValuationToggle&amp;", "&amp;MO.ReportCurrency</f>
        <v>Stock Price (Reporting Cur.) - Avg, USD</v>
      </c>
      <c r="B472" s="318" t="s">
        <v>129</v>
      </c>
      <c r="C472" s="319">
        <f t="shared" ref="C472:AH472" ca="1" si="411">INDEX(MO_VA_StockPrice_TradingCurrency,1,COLUMN())/INDEX(MO_VA_FX_Average,1,COLUMN())</f>
        <v>6.2816071428571396</v>
      </c>
      <c r="D472" s="319">
        <f t="shared" ca="1" si="411"/>
        <v>17.001249999999999</v>
      </c>
      <c r="E472" s="319">
        <f t="shared" ca="1" si="411"/>
        <v>3.8940051020408202</v>
      </c>
      <c r="F472" s="319">
        <f t="shared" ca="1" si="411"/>
        <v>11.9760714285714</v>
      </c>
      <c r="G472" s="320">
        <f t="shared" ca="1" si="411"/>
        <v>20.593571428571401</v>
      </c>
      <c r="H472" s="320">
        <f t="shared" ca="1" si="411"/>
        <v>29.132142857142899</v>
      </c>
      <c r="I472" s="320">
        <f t="shared" ca="1" si="411"/>
        <v>38.027857142857101</v>
      </c>
      <c r="J472" s="320">
        <f t="shared" ca="1" si="411"/>
        <v>47.997142857142897</v>
      </c>
      <c r="K472" s="319">
        <f t="shared" ca="1" si="411"/>
        <v>33.937678571428599</v>
      </c>
      <c r="L472" s="320">
        <f t="shared" ca="1" si="411"/>
        <v>55.505000000000003</v>
      </c>
      <c r="M472" s="320">
        <f t="shared" ca="1" si="411"/>
        <v>53.594999999999999</v>
      </c>
      <c r="N472" s="320">
        <f t="shared" ca="1" si="411"/>
        <v>64.415000000000006</v>
      </c>
      <c r="O472" s="320">
        <f t="shared" ca="1" si="411"/>
        <v>55.97</v>
      </c>
      <c r="P472" s="319">
        <f t="shared" ca="1" si="411"/>
        <v>57.371250000000003</v>
      </c>
      <c r="Q472" s="320">
        <f t="shared" ca="1" si="411"/>
        <v>57.38</v>
      </c>
      <c r="R472" s="320">
        <f t="shared" ca="1" si="411"/>
        <v>79.674999999999997</v>
      </c>
      <c r="S472" s="320">
        <f t="shared" ca="1" si="411"/>
        <v>107.395</v>
      </c>
      <c r="T472" s="320">
        <f t="shared" ca="1" si="411"/>
        <v>114.765</v>
      </c>
      <c r="U472" s="319">
        <f t="shared" ca="1" si="411"/>
        <v>89.803749999999994</v>
      </c>
      <c r="V472" s="320">
        <f t="shared" ca="1" si="411"/>
        <v>101.065</v>
      </c>
      <c r="W472" s="320">
        <f t="shared" ca="1" si="411"/>
        <v>98.33</v>
      </c>
      <c r="X472" s="320">
        <f t="shared" ca="1" si="411"/>
        <v>92.885000000000005</v>
      </c>
      <c r="Y472" s="320">
        <f t="shared" ca="1" si="411"/>
        <v>113.46</v>
      </c>
      <c r="Z472" s="321">
        <f t="shared" ca="1" si="411"/>
        <v>101.435</v>
      </c>
      <c r="AA472" s="320">
        <f t="shared" ca="1" si="411"/>
        <v>136.30000000000001</v>
      </c>
      <c r="AB472" s="320">
        <f t="shared" ca="1" si="411"/>
        <v>152.76499999999999</v>
      </c>
      <c r="AC472" s="320">
        <f t="shared" ca="1" si="411"/>
        <v>167.875</v>
      </c>
      <c r="AD472" s="320">
        <f t="shared" ca="1" si="411"/>
        <v>190.48</v>
      </c>
      <c r="AE472" s="321">
        <f t="shared" ca="1" si="411"/>
        <v>161.85499999999999</v>
      </c>
      <c r="AF472" s="320">
        <f t="shared" ca="1" si="411"/>
        <v>272.21786885245899</v>
      </c>
      <c r="AG472" s="320">
        <f t="shared" ca="1" si="411"/>
        <v>340.89687500000002</v>
      </c>
      <c r="AH472" s="320">
        <f t="shared" ca="1" si="411"/>
        <v>362.95142857142901</v>
      </c>
      <c r="AI472" s="320">
        <f t="shared" ref="AI472:AY472" ca="1" si="412">INDEX(MO_VA_StockPrice_TradingCurrency,1,COLUMN())/INDEX(MO_VA_FX_Average,1,COLUMN())</f>
        <v>299.25769841269801</v>
      </c>
      <c r="AJ472" s="321">
        <f t="shared" ca="1" si="412"/>
        <v>319.290298804781</v>
      </c>
      <c r="AK472" s="320">
        <f t="shared" ca="1" si="412"/>
        <v>346.66885245901602</v>
      </c>
      <c r="AL472" s="320">
        <f t="shared" ca="1" si="412"/>
        <v>360.777777777778</v>
      </c>
      <c r="AM472" s="320">
        <f t="shared" ca="1" si="412"/>
        <v>312.88953125</v>
      </c>
      <c r="AN472" s="320">
        <f t="shared" ca="1" si="412"/>
        <v>296.48171875000003</v>
      </c>
      <c r="AO472" s="321">
        <f t="shared" ca="1" si="412"/>
        <v>328.87126984127002</v>
      </c>
      <c r="AP472" s="320">
        <f t="shared" ca="1" si="412"/>
        <v>353.77717741935498</v>
      </c>
      <c r="AQ472" s="320">
        <f t="shared" ca="1" si="412"/>
        <v>425.61777777777797</v>
      </c>
      <c r="AR472" s="320">
        <f ca="1">INDEX(MO_VA_StockPrice_TradingCurrency,1,COLUMN())/INDEX(MO_VA_FX_Average,1,COLUMN())</f>
        <v>497.6978125</v>
      </c>
      <c r="AS472" s="320">
        <f ca="1">INDEX(MO_VA_StockPrice_TradingCurrency,1,COLUMN())/INDEX(MO_VA_FX_Average,1,COLUMN())</f>
        <v>506.97687500000001</v>
      </c>
      <c r="AT472" s="321">
        <f ca="1">INDEX(MO_VA_StockPrice_TradingCurrency,1,COLUMN())/INDEX(MO_VA_FX_Average,1,COLUMN())</f>
        <v>446.82721343873601</v>
      </c>
      <c r="AU472" s="320">
        <f t="shared" ca="1" si="412"/>
        <v>530.43606557377097</v>
      </c>
      <c r="AV472" s="320">
        <f ca="1">INDEX(MO_VA_StockPrice_TradingCurrency,1,COLUMN())/INDEX(MO_VA_FX_Average,1,COLUMN())</f>
        <v>511.16333333333301</v>
      </c>
      <c r="AW472" s="591">
        <f ca="1">INDEX(MO_VA_StockPrice_TradingCurrency,1,COLUMN())/INDEX(MO_VA_FX_Average,1,COLUMN())</f>
        <v>550.33171875000005</v>
      </c>
      <c r="AX472" s="320">
        <f t="shared" ca="1" si="412"/>
        <v>553.29</v>
      </c>
      <c r="AY472" s="321">
        <f t="shared" ca="1" si="412"/>
        <v>553.29</v>
      </c>
      <c r="AZ472" s="320">
        <f t="shared" ref="AZ472:BG472" ca="1" si="413">INDEX(MO_VA_StockPrice_TradingCurrency,1,COLUMN())/INDEX(MO_VA_FX_Average,1,COLUMN())</f>
        <v>553.29</v>
      </c>
      <c r="BA472" s="320">
        <f t="shared" ca="1" si="413"/>
        <v>553.29</v>
      </c>
      <c r="BB472" s="320">
        <f t="shared" ca="1" si="413"/>
        <v>553.29</v>
      </c>
      <c r="BC472" s="320">
        <f t="shared" ca="1" si="413"/>
        <v>553.29</v>
      </c>
      <c r="BD472" s="321">
        <f t="shared" ca="1" si="413"/>
        <v>553.29</v>
      </c>
      <c r="BE472" s="321">
        <f t="shared" ca="1" si="413"/>
        <v>553.29</v>
      </c>
      <c r="BF472" s="321">
        <f t="shared" ca="1" si="413"/>
        <v>553.29</v>
      </c>
      <c r="BG472" s="321">
        <f t="shared" ca="1" si="413"/>
        <v>553.29</v>
      </c>
      <c r="BH472" s="371"/>
    </row>
    <row r="473" spans="1:60" customFormat="1" x14ac:dyDescent="0.25">
      <c r="A473" s="821" t="str">
        <f>"Market Cap - "&amp;MO.ValuationToggle</f>
        <v>Market Cap - Avg</v>
      </c>
      <c r="B473" s="289"/>
      <c r="C473" s="865">
        <f t="shared" ref="C473:AH473" ca="1" si="414">C427*C472</f>
        <v>2568.6245399999984</v>
      </c>
      <c r="D473" s="865">
        <f t="shared" ca="1" si="414"/>
        <v>6462.6511599999994</v>
      </c>
      <c r="E473" s="865">
        <f t="shared" ca="1" si="414"/>
        <v>1481.9921437500013</v>
      </c>
      <c r="F473" s="865">
        <f t="shared" ca="1" si="414"/>
        <v>4938.0695799999885</v>
      </c>
      <c r="G473" s="866">
        <f t="shared" ca="1" si="414"/>
        <v>8670.3466299999891</v>
      </c>
      <c r="H473" s="866">
        <f t="shared" ca="1" si="414"/>
        <v>12355.815750000018</v>
      </c>
      <c r="I473" s="866">
        <f t="shared" ca="1" si="414"/>
        <v>16235.233049999983</v>
      </c>
      <c r="J473" s="866">
        <f t="shared" ca="1" si="414"/>
        <v>20596.917920000018</v>
      </c>
      <c r="K473" s="865">
        <f t="shared" ca="1" si="414"/>
        <v>14434.611013750011</v>
      </c>
      <c r="L473" s="866">
        <f t="shared" ca="1" si="414"/>
        <v>23913.552180000002</v>
      </c>
      <c r="M473" s="866">
        <f t="shared" ca="1" si="414"/>
        <v>23123.080394999997</v>
      </c>
      <c r="N473" s="866">
        <f t="shared" ca="1" si="414"/>
        <v>27875.075930000003</v>
      </c>
      <c r="O473" s="866">
        <f t="shared" ca="1" si="414"/>
        <v>24207.808580000001</v>
      </c>
      <c r="P473" s="865">
        <f t="shared" ca="1" si="414"/>
        <v>24778.298647500003</v>
      </c>
      <c r="Q473" s="866">
        <f t="shared" ca="1" si="414"/>
        <v>24892.07518</v>
      </c>
      <c r="R473" s="866">
        <f t="shared" ca="1" si="414"/>
        <v>34746.028474999999</v>
      </c>
      <c r="S473" s="866">
        <f t="shared" ca="1" si="414"/>
        <v>46996.696369999998</v>
      </c>
      <c r="T473" s="866">
        <f t="shared" ca="1" si="414"/>
        <v>50296.564605</v>
      </c>
      <c r="U473" s="865">
        <f t="shared" ca="1" si="414"/>
        <v>39195.38551</v>
      </c>
      <c r="V473" s="866">
        <f t="shared" ca="1" si="414"/>
        <v>44265.762544999998</v>
      </c>
      <c r="W473" s="866">
        <f t="shared" ca="1" si="414"/>
        <v>43083.682820000002</v>
      </c>
      <c r="X473" s="866">
        <f t="shared" ca="1" si="414"/>
        <v>40719.762265000005</v>
      </c>
      <c r="Y473" s="866">
        <f t="shared" ca="1" si="414"/>
        <v>49929.547979999996</v>
      </c>
      <c r="Z473" s="864">
        <f t="shared" ca="1" si="414"/>
        <v>44494.66562</v>
      </c>
      <c r="AA473" s="866">
        <f t="shared" ca="1" si="414"/>
        <v>60715.925400000007</v>
      </c>
      <c r="AB473" s="866">
        <f t="shared" ca="1" si="414"/>
        <v>68173.214429999993</v>
      </c>
      <c r="AC473" s="866">
        <f t="shared" ca="1" si="414"/>
        <v>75100.895750000011</v>
      </c>
      <c r="AD473" s="866">
        <f t="shared" ca="1" si="414"/>
        <v>85362.088159999999</v>
      </c>
      <c r="AE473" s="864">
        <f t="shared" ca="1" si="414"/>
        <v>72319.079970000006</v>
      </c>
      <c r="AF473" s="866">
        <f t="shared" ca="1" si="414"/>
        <v>122595.76719852457</v>
      </c>
      <c r="AG473" s="866">
        <f t="shared" ca="1" si="414"/>
        <v>153932.66570000001</v>
      </c>
      <c r="AH473" s="866">
        <f t="shared" ca="1" si="414"/>
        <v>164024.64664857162</v>
      </c>
      <c r="AI473" s="866">
        <f t="shared" ref="AI473:AY473" ca="1" si="415">AI427*AI472</f>
        <v>134999.93587714268</v>
      </c>
      <c r="AJ473" s="864">
        <f t="shared" ca="1" si="415"/>
        <v>144077.8315938646</v>
      </c>
      <c r="AK473" s="866">
        <f t="shared" ca="1" si="415"/>
        <v>156667.28114098345</v>
      </c>
      <c r="AL473" s="866">
        <f t="shared" ca="1" si="415"/>
        <v>163141.90722222233</v>
      </c>
      <c r="AM473" s="866">
        <f t="shared" ca="1" si="415"/>
        <v>141285.89361500001</v>
      </c>
      <c r="AN473" s="866">
        <f t="shared" ca="1" si="415"/>
        <v>133822.06394703127</v>
      </c>
      <c r="AO473" s="864">
        <f t="shared" ca="1" si="415"/>
        <v>148572.52921984135</v>
      </c>
      <c r="AP473" s="866">
        <f t="shared" ca="1" si="415"/>
        <v>160082.05011919362</v>
      </c>
      <c r="AQ473" s="866">
        <f t="shared" ca="1" si="415"/>
        <v>193207.06213333341</v>
      </c>
      <c r="AR473" s="866">
        <f ca="1">AR427*AR472</f>
        <v>226496.30209500002</v>
      </c>
      <c r="AS473" s="866">
        <f ca="1">AS427*AS472</f>
        <v>230817.95258062502</v>
      </c>
      <c r="AT473" s="864">
        <f ca="1">AT427*AT472</f>
        <v>202952.49496158143</v>
      </c>
      <c r="AU473" s="866">
        <f t="shared" ref="AU473" ca="1" si="416">AU427*AU472</f>
        <v>241688.41935409859</v>
      </c>
      <c r="AV473" s="866">
        <f ca="1">AV427*AV472</f>
        <v>232645.25673666652</v>
      </c>
      <c r="AW473" s="878">
        <f ca="1">AW427*AW472</f>
        <v>250359.65715234377</v>
      </c>
      <c r="AX473" s="866">
        <f t="shared" ca="1" si="415"/>
        <v>251705.45324999999</v>
      </c>
      <c r="AY473" s="864">
        <f t="shared" ca="1" si="415"/>
        <v>251832.70994999996</v>
      </c>
      <c r="AZ473" s="866">
        <f t="shared" ref="AZ473:BG473" ca="1" si="417">AZ427*AZ472</f>
        <v>251705.45324999999</v>
      </c>
      <c r="BA473" s="866">
        <f t="shared" ca="1" si="417"/>
        <v>251705.45324999999</v>
      </c>
      <c r="BB473" s="866">
        <f t="shared" ca="1" si="417"/>
        <v>251705.45324999999</v>
      </c>
      <c r="BC473" s="866">
        <f t="shared" ca="1" si="417"/>
        <v>251705.45324999999</v>
      </c>
      <c r="BD473" s="864">
        <f t="shared" ca="1" si="417"/>
        <v>251705.45324999999</v>
      </c>
      <c r="BE473" s="864">
        <f t="shared" ca="1" si="417"/>
        <v>251705.45324999999</v>
      </c>
      <c r="BF473" s="864">
        <f t="shared" ca="1" si="417"/>
        <v>251705.45324999999</v>
      </c>
      <c r="BG473" s="864">
        <f t="shared" ca="1" si="417"/>
        <v>251705.45324999999</v>
      </c>
      <c r="BH473" s="821"/>
    </row>
    <row r="474" spans="1:60" customFormat="1" x14ac:dyDescent="0.25">
      <c r="A474" s="821" t="str">
        <f>"Enterprise Value - "&amp;MO.ValuationToggle</f>
        <v>Enterprise Value - Avg</v>
      </c>
      <c r="B474" s="289"/>
      <c r="C474" s="865">
        <f t="shared" ref="C474:AH474" ca="1" si="418">C458+C473+C489+C490+C491</f>
        <v>2486.3645399999987</v>
      </c>
      <c r="D474" s="865">
        <f t="shared" ca="1" si="418"/>
        <v>6312.2641599999997</v>
      </c>
      <c r="E474" s="865">
        <f t="shared" ca="1" si="418"/>
        <v>1084.1811437500014</v>
      </c>
      <c r="F474" s="865">
        <f t="shared" ca="1" si="418"/>
        <v>4589.991579999989</v>
      </c>
      <c r="G474" s="866">
        <f t="shared" ca="1" si="418"/>
        <v>8344.4746299999897</v>
      </c>
      <c r="H474" s="866">
        <f t="shared" ca="1" si="418"/>
        <v>11775.705750000017</v>
      </c>
      <c r="I474" s="866">
        <f t="shared" ca="1" si="418"/>
        <v>15600.246049999983</v>
      </c>
      <c r="J474" s="866">
        <f t="shared" ca="1" si="418"/>
        <v>19896.512920000019</v>
      </c>
      <c r="K474" s="865">
        <f t="shared" ca="1" si="418"/>
        <v>13734.20601375001</v>
      </c>
      <c r="L474" s="866">
        <f t="shared" ca="1" si="418"/>
        <v>23145.309180000004</v>
      </c>
      <c r="M474" s="866">
        <f t="shared" ca="1" si="418"/>
        <v>22308.715394999999</v>
      </c>
      <c r="N474" s="866">
        <f t="shared" ca="1" si="418"/>
        <v>27108.256930000003</v>
      </c>
      <c r="O474" s="866">
        <f t="shared" ca="1" si="418"/>
        <v>23499.312580000002</v>
      </c>
      <c r="P474" s="865">
        <f t="shared" ca="1" si="418"/>
        <v>24069.802647500004</v>
      </c>
      <c r="Q474" s="866">
        <f t="shared" ca="1" si="418"/>
        <v>24334.367180000001</v>
      </c>
      <c r="R474" s="866">
        <f t="shared" ca="1" si="418"/>
        <v>34349.270474999998</v>
      </c>
      <c r="S474" s="866">
        <f t="shared" ca="1" si="418"/>
        <v>46787.054369999998</v>
      </c>
      <c r="T474" s="866">
        <f t="shared" ca="1" si="418"/>
        <v>50357.211604999997</v>
      </c>
      <c r="U474" s="865">
        <f t="shared" ca="1" si="418"/>
        <v>39256.032509999997</v>
      </c>
      <c r="V474" s="866">
        <f t="shared" ca="1" si="418"/>
        <v>44565.509545000001</v>
      </c>
      <c r="W474" s="866">
        <f t="shared" ca="1" si="418"/>
        <v>43622.539820000005</v>
      </c>
      <c r="X474" s="866">
        <f t="shared" ca="1" si="418"/>
        <v>41750.472265000004</v>
      </c>
      <c r="Y474" s="866">
        <f t="shared" ca="1" si="418"/>
        <v>51560.076979999998</v>
      </c>
      <c r="Z474" s="864">
        <f t="shared" ca="1" si="418"/>
        <v>46125.194620000002</v>
      </c>
      <c r="AA474" s="866">
        <f t="shared" ca="1" si="418"/>
        <v>62740.127400000005</v>
      </c>
      <c r="AB474" s="866">
        <f t="shared" ca="1" si="418"/>
        <v>70844.814429999999</v>
      </c>
      <c r="AC474" s="866">
        <f t="shared" ca="1" si="418"/>
        <v>78243.209750000009</v>
      </c>
      <c r="AD474" s="866">
        <f t="shared" ca="1" si="418"/>
        <v>89034.325159999993</v>
      </c>
      <c r="AE474" s="864">
        <f t="shared" ca="1" si="418"/>
        <v>75991.31697</v>
      </c>
      <c r="AF474" s="866">
        <f t="shared" ca="1" si="418"/>
        <v>126538.66319852456</v>
      </c>
      <c r="AG474" s="866">
        <f t="shared" ca="1" si="418"/>
        <v>158360.73870000002</v>
      </c>
      <c r="AH474" s="866">
        <f t="shared" ca="1" si="418"/>
        <v>169282.66864857162</v>
      </c>
      <c r="AI474" s="866">
        <f t="shared" ref="AI474:AY474" ca="1" si="419">AI458+AI473+AI489+AI490+AI491</f>
        <v>141547.95287714267</v>
      </c>
      <c r="AJ474" s="864">
        <f t="shared" ca="1" si="419"/>
        <v>150625.84859386459</v>
      </c>
      <c r="AK474" s="866">
        <f t="shared" ca="1" si="419"/>
        <v>164489.72914098346</v>
      </c>
      <c r="AL474" s="866">
        <f t="shared" ca="1" si="419"/>
        <v>171791.77922222234</v>
      </c>
      <c r="AM474" s="866">
        <f t="shared" ca="1" si="419"/>
        <v>150365.53761500001</v>
      </c>
      <c r="AN474" s="866">
        <f t="shared" ca="1" si="419"/>
        <v>145150.77194703129</v>
      </c>
      <c r="AO474" s="864">
        <f t="shared" ca="1" si="419"/>
        <v>159901.23721984137</v>
      </c>
      <c r="AP474" s="866">
        <f t="shared" ca="1" si="419"/>
        <v>171169.36411919363</v>
      </c>
      <c r="AQ474" s="866">
        <f t="shared" ca="1" si="419"/>
        <v>203735.17513333343</v>
      </c>
      <c r="AR474" s="866">
        <f ca="1">AR458+AR473+AR489+AR490+AR491</f>
        <v>236211.15509500002</v>
      </c>
      <c r="AS474" s="866">
        <f ca="1">AS458+AS473+AS489+AS490+AS491</f>
        <v>241089.90858062502</v>
      </c>
      <c r="AT474" s="864">
        <f ca="1">AT458+AT473+AT489+AT490+AT491</f>
        <v>213224.45096158143</v>
      </c>
      <c r="AU474" s="866">
        <f t="shared" ref="AU474" ca="1" si="420">AU458+AU473+AU489+AU490+AU491</f>
        <v>250991.2853540986</v>
      </c>
      <c r="AV474" s="866">
        <f ca="1">AV458+AV473+AV489+AV490+AV491</f>
        <v>242783.76273666651</v>
      </c>
      <c r="AW474" s="878">
        <f ca="1">AW458+AW473+AW489+AW490+AW491</f>
        <v>260813.29715234379</v>
      </c>
      <c r="AX474" s="866">
        <f t="shared" ca="1" si="419"/>
        <v>261767.66025969072</v>
      </c>
      <c r="AY474" s="864">
        <f t="shared" ca="1" si="419"/>
        <v>261894.91695969069</v>
      </c>
      <c r="AZ474" s="866">
        <f t="shared" ref="AZ474:BG474" ca="1" si="421">AZ458+AZ473+AZ489+AZ490+AZ491</f>
        <v>260840.30552316434</v>
      </c>
      <c r="BA474" s="866">
        <f t="shared" ca="1" si="421"/>
        <v>259975.64108634694</v>
      </c>
      <c r="BB474" s="866">
        <f t="shared" ca="1" si="421"/>
        <v>258519.50057897941</v>
      </c>
      <c r="BC474" s="866">
        <f t="shared" ca="1" si="421"/>
        <v>257520.40623510972</v>
      </c>
      <c r="BD474" s="864">
        <f t="shared" ca="1" si="421"/>
        <v>257520.40623510972</v>
      </c>
      <c r="BE474" s="864">
        <f t="shared" ca="1" si="421"/>
        <v>250825.73193921283</v>
      </c>
      <c r="BF474" s="864">
        <f t="shared" ca="1" si="421"/>
        <v>241086.87475256476</v>
      </c>
      <c r="BG474" s="864">
        <f t="shared" ca="1" si="421"/>
        <v>227944.39779229235</v>
      </c>
      <c r="BH474" s="821"/>
    </row>
    <row r="475" spans="1:60" customFormat="1" x14ac:dyDescent="0.25">
      <c r="A475" s="523"/>
      <c r="B475" s="524"/>
      <c r="C475" s="104"/>
      <c r="D475" s="104"/>
      <c r="E475" s="104"/>
      <c r="F475" s="104"/>
      <c r="G475" s="477"/>
      <c r="H475" s="477"/>
      <c r="I475" s="477"/>
      <c r="J475" s="477"/>
      <c r="K475" s="104"/>
      <c r="L475" s="477"/>
      <c r="M475" s="477"/>
      <c r="N475" s="477"/>
      <c r="O475" s="477"/>
      <c r="P475" s="104"/>
      <c r="Q475" s="477"/>
      <c r="R475" s="477"/>
      <c r="S475" s="477"/>
      <c r="T475" s="477"/>
      <c r="U475" s="104"/>
      <c r="V475" s="477"/>
      <c r="W475" s="525"/>
      <c r="X475" s="477"/>
      <c r="Y475" s="525"/>
      <c r="Z475" s="104"/>
      <c r="AA475" s="525"/>
      <c r="AB475" s="525"/>
      <c r="AC475" s="477"/>
      <c r="AD475" s="525"/>
      <c r="AE475" s="104"/>
      <c r="AF475" s="525"/>
      <c r="AG475" s="525"/>
      <c r="AH475" s="477"/>
      <c r="AI475" s="525"/>
      <c r="AJ475" s="104"/>
      <c r="AK475" s="525"/>
      <c r="AL475" s="525"/>
      <c r="AM475" s="477"/>
      <c r="AN475" s="525"/>
      <c r="AO475" s="104"/>
      <c r="AP475" s="525"/>
      <c r="AQ475" s="525"/>
      <c r="AR475" s="477"/>
      <c r="AS475" s="525"/>
      <c r="AT475" s="104"/>
      <c r="AU475" s="525"/>
      <c r="AV475" s="525"/>
      <c r="AW475" s="639"/>
      <c r="AX475" s="525"/>
      <c r="AY475" s="104"/>
      <c r="AZ475" s="525"/>
      <c r="BA475" s="525"/>
      <c r="BB475" s="525"/>
      <c r="BC475" s="525"/>
      <c r="BD475" s="104"/>
      <c r="BE475" s="104"/>
      <c r="BF475" s="104"/>
      <c r="BG475" s="104"/>
      <c r="BH475" s="112"/>
    </row>
    <row r="476" spans="1:60" customFormat="1" x14ac:dyDescent="0.25">
      <c r="A476" s="159" t="str">
        <f>"P/E - "&amp;MO.ValuationToggle</f>
        <v>P/E - Avg</v>
      </c>
      <c r="B476" s="524"/>
      <c r="C476" s="40">
        <f ca="1">C472/C422</f>
        <v>22.170071983428258</v>
      </c>
      <c r="D476" s="40">
        <f ca="1">D472/D422</f>
        <v>40.177374124200369</v>
      </c>
      <c r="E476" s="40">
        <f ca="1">E472/E422</f>
        <v>6.5538334545784238</v>
      </c>
      <c r="F476" s="40">
        <f ca="1">F472/F422</f>
        <v>287.90051189365289</v>
      </c>
      <c r="G476" s="477"/>
      <c r="H476" s="477"/>
      <c r="I476" s="477"/>
      <c r="J476" s="477"/>
      <c r="K476" s="40">
        <f ca="1">K472/K422</f>
        <v>112.43660238160162</v>
      </c>
      <c r="L476" s="477"/>
      <c r="M476" s="477"/>
      <c r="N476" s="477"/>
      <c r="O476" s="477"/>
      <c r="P476" s="40">
        <f ca="1">P472/P422</f>
        <v>108.58768749972626</v>
      </c>
      <c r="Q476" s="477"/>
      <c r="R476" s="477"/>
      <c r="S476" s="477"/>
      <c r="T476" s="477"/>
      <c r="U476" s="40">
        <f ca="1">U472/U422</f>
        <v>293.56320972767156</v>
      </c>
      <c r="V476" s="477"/>
      <c r="W476" s="525"/>
      <c r="X476" s="477"/>
      <c r="Y476" s="525"/>
      <c r="Z476" s="104">
        <f ca="1">Z472/Z422</f>
        <v>238.34980886874766</v>
      </c>
      <c r="AA476" s="525"/>
      <c r="AB476" s="525"/>
      <c r="AC476" s="477"/>
      <c r="AD476" s="525"/>
      <c r="AE476" s="104">
        <f ca="1">AE472/AE422</f>
        <v>129.38867006363964</v>
      </c>
      <c r="AF476" s="525"/>
      <c r="AG476" s="525"/>
      <c r="AH476" s="477"/>
      <c r="AI476" s="525"/>
      <c r="AJ476" s="104">
        <f ca="1">AJ472/AJ422</f>
        <v>118.95049180416848</v>
      </c>
      <c r="AK476" s="525"/>
      <c r="AL476" s="525"/>
      <c r="AM476" s="477"/>
      <c r="AN476" s="525"/>
      <c r="AO476" s="104">
        <f ca="1">AO472/AO422</f>
        <v>79.581796513523528</v>
      </c>
      <c r="AP476" s="525"/>
      <c r="AQ476" s="525"/>
      <c r="AR476" s="477"/>
      <c r="AS476" s="525"/>
      <c r="AT476" s="104">
        <f ca="1">AT472/AT422</f>
        <v>73.496365047949098</v>
      </c>
      <c r="AU476" s="525"/>
      <c r="AV476" s="525"/>
      <c r="AW476" s="639"/>
      <c r="AX476" s="525"/>
      <c r="AY476" s="104">
        <f ca="1">AY472/AY422</f>
        <v>51.826493489596523</v>
      </c>
      <c r="AZ476" s="525"/>
      <c r="BA476" s="525"/>
      <c r="BB476" s="525"/>
      <c r="BC476" s="525"/>
      <c r="BD476" s="104">
        <f ca="1">BD472/BD422</f>
        <v>42.584670702187317</v>
      </c>
      <c r="BE476" s="104">
        <f ca="1">BE472/BE422</f>
        <v>32.70521398361732</v>
      </c>
      <c r="BF476" s="104">
        <f ca="1">BF472/BF422</f>
        <v>25.831059426032212</v>
      </c>
      <c r="BG476" s="104">
        <f ca="1">BG472/BG422</f>
        <v>19.953861776405393</v>
      </c>
      <c r="BH476" s="112"/>
    </row>
    <row r="477" spans="1:60" customFormat="1" x14ac:dyDescent="0.25">
      <c r="A477" s="159" t="str">
        <f>"EV/EBITDA - "&amp;MO.ValuationToggle</f>
        <v>EV/EBITDA - Avg</v>
      </c>
      <c r="B477" s="524"/>
      <c r="C477" s="40">
        <f ca="1">C474/C395</f>
        <v>10.2487810849914</v>
      </c>
      <c r="D477" s="40">
        <f ca="1">D474/D395</f>
        <v>18.048654299242859</v>
      </c>
      <c r="E477" s="40">
        <f ca="1">E474/E395</f>
        <v>2.2521560037765114</v>
      </c>
      <c r="F477" s="40">
        <f ca="1">F474/F395</f>
        <v>27.09414245996366</v>
      </c>
      <c r="G477" s="477"/>
      <c r="H477" s="477"/>
      <c r="I477" s="477"/>
      <c r="J477" s="477"/>
      <c r="K477" s="40">
        <f ca="1">K474/K395</f>
        <v>39.260667637877688</v>
      </c>
      <c r="L477" s="477"/>
      <c r="M477" s="477"/>
      <c r="N477" s="477"/>
      <c r="O477" s="477"/>
      <c r="P477" s="40">
        <f ca="1">P474/P395</f>
        <v>42.086328645865237</v>
      </c>
      <c r="Q477" s="477"/>
      <c r="R477" s="477"/>
      <c r="S477" s="477"/>
      <c r="T477" s="477"/>
      <c r="U477" s="40">
        <f ca="1">U474/U395</f>
        <v>79.653661293660633</v>
      </c>
      <c r="V477" s="477"/>
      <c r="W477" s="525"/>
      <c r="X477" s="477"/>
      <c r="Y477" s="525"/>
      <c r="Z477" s="104">
        <f ca="1">Z474/Z395</f>
        <v>75.491811108419739</v>
      </c>
      <c r="AA477" s="525"/>
      <c r="AB477" s="525"/>
      <c r="AC477" s="477"/>
      <c r="AD477" s="525"/>
      <c r="AE477" s="104">
        <f ca="1">AE474/AE395</f>
        <v>69.538238019983567</v>
      </c>
      <c r="AF477" s="525"/>
      <c r="AG477" s="525"/>
      <c r="AH477" s="477"/>
      <c r="AI477" s="525"/>
      <c r="AJ477" s="104">
        <f ca="1">AJ474/AJ395</f>
        <v>74.974041628770266</v>
      </c>
      <c r="AK477" s="525"/>
      <c r="AL477" s="525"/>
      <c r="AM477" s="477"/>
      <c r="AN477" s="525"/>
      <c r="AO477" s="104">
        <f ca="1">AO474/AO395</f>
        <v>51.362191622805064</v>
      </c>
      <c r="AP477" s="525"/>
      <c r="AQ477" s="525"/>
      <c r="AR477" s="477"/>
      <c r="AS477" s="525"/>
      <c r="AT477" s="104">
        <f ca="1">AT474/AT395</f>
        <v>41.67650329700767</v>
      </c>
      <c r="AU477" s="525"/>
      <c r="AV477" s="525"/>
      <c r="AW477" s="639"/>
      <c r="AX477" s="525"/>
      <c r="AY477" s="104">
        <f ca="1">AY474/AY395</f>
        <v>38.994183519506059</v>
      </c>
      <c r="AZ477" s="525"/>
      <c r="BA477" s="525"/>
      <c r="BB477" s="525"/>
      <c r="BC477" s="525"/>
      <c r="BD477" s="104">
        <f ca="1">BD474/BD395</f>
        <v>29.700876260359767</v>
      </c>
      <c r="BE477" s="104">
        <f ca="1">BE474/BE395</f>
        <v>22.978408892475837</v>
      </c>
      <c r="BF477" s="104">
        <f ca="1">BF474/BF395</f>
        <v>17.910597653767702</v>
      </c>
      <c r="BG477" s="104">
        <f ca="1">BG474/BG395</f>
        <v>13.414277720800182</v>
      </c>
      <c r="BH477" s="112"/>
    </row>
    <row r="478" spans="1:60" customFormat="1" x14ac:dyDescent="0.25">
      <c r="A478" s="159" t="str">
        <f>"P/CF - "&amp;MO.ValuationToggle</f>
        <v>P/CF - Avg</v>
      </c>
      <c r="B478" s="524"/>
      <c r="C478" s="40">
        <f ca="1">C472/C431</f>
        <v>8.4918260921310988</v>
      </c>
      <c r="D478" s="40">
        <f ca="1">D472/D431</f>
        <v>29.746025103446996</v>
      </c>
      <c r="E478" s="40">
        <f ca="1">E472/E431</f>
        <v>7.3322752623454495</v>
      </c>
      <c r="F478" s="40">
        <f ca="1">F472/F431</f>
        <v>-1524.0955493828051</v>
      </c>
      <c r="G478" s="477"/>
      <c r="H478" s="477"/>
      <c r="I478" s="477"/>
      <c r="J478" s="477"/>
      <c r="K478" s="40">
        <f ca="1">K472/K431</f>
        <v>-655.04678769967563</v>
      </c>
      <c r="L478" s="477"/>
      <c r="M478" s="477"/>
      <c r="N478" s="477"/>
      <c r="O478" s="477"/>
      <c r="P478" s="40">
        <f ca="1">P472/P431</f>
        <v>-205.42446234040813</v>
      </c>
      <c r="Q478" s="477"/>
      <c r="R478" s="477"/>
      <c r="S478" s="477"/>
      <c r="T478" s="477"/>
      <c r="U478" s="40">
        <f ca="1">U472/U431</f>
        <v>-42.496238325711303</v>
      </c>
      <c r="V478" s="477"/>
      <c r="W478" s="525"/>
      <c r="X478" s="477"/>
      <c r="Y478" s="525"/>
      <c r="Z478" s="104">
        <f ca="1">Z472/Z431</f>
        <v>-26.701648391347856</v>
      </c>
      <c r="AA478" s="525"/>
      <c r="AB478" s="525"/>
      <c r="AC478" s="477"/>
      <c r="AD478" s="525"/>
      <c r="AE478" s="104">
        <f ca="1">AE472/AE431</f>
        <v>-39.19892676938084</v>
      </c>
      <c r="AF478" s="525"/>
      <c r="AG478" s="525"/>
      <c r="AH478" s="477"/>
      <c r="AI478" s="525"/>
      <c r="AJ478" s="104">
        <f ca="1">AJ472/AJ431</f>
        <v>-48.441800575293563</v>
      </c>
      <c r="AK478" s="525"/>
      <c r="AL478" s="525"/>
      <c r="AM478" s="477"/>
      <c r="AN478" s="525"/>
      <c r="AO478" s="104">
        <f ca="1">AO472/AO431</f>
        <v>-50.701031857751914</v>
      </c>
      <c r="AP478" s="525"/>
      <c r="AQ478" s="525"/>
      <c r="AR478" s="477"/>
      <c r="AS478" s="525"/>
      <c r="AT478" s="104">
        <f ca="1">AT472/AT431</f>
        <v>82.536243096273381</v>
      </c>
      <c r="AU478" s="525"/>
      <c r="AV478" s="525"/>
      <c r="AW478" s="639"/>
      <c r="AX478" s="525"/>
      <c r="AY478" s="104">
        <f ca="1">AY472/AY431</f>
        <v>196.63287741577875</v>
      </c>
      <c r="AZ478" s="525"/>
      <c r="BA478" s="525"/>
      <c r="BB478" s="525"/>
      <c r="BC478" s="525"/>
      <c r="BD478" s="104">
        <f ca="1">BD472/BD431</f>
        <v>56.539077567167205</v>
      </c>
      <c r="BE478" s="104">
        <f ca="1">BE472/BE431</f>
        <v>36.651757857492129</v>
      </c>
      <c r="BF478" s="104">
        <f ca="1">BF472/BF431</f>
        <v>25.519854364004473</v>
      </c>
      <c r="BG478" s="104">
        <f ca="1">BG472/BG431</f>
        <v>19.03590778460951</v>
      </c>
      <c r="BH478" s="112"/>
    </row>
    <row r="479" spans="1:60" customFormat="1" x14ac:dyDescent="0.25">
      <c r="A479" s="75" t="str">
        <f>"FCF Yield % to "&amp;MO.ValuationToggle&amp;" Market Cap"</f>
        <v>FCF Yield % to Avg Market Cap</v>
      </c>
      <c r="B479" s="258"/>
      <c r="C479" s="46">
        <f t="shared" ref="C479:F480" ca="1" si="422">C$447/C473</f>
        <v>2.4723737942642255E-2</v>
      </c>
      <c r="D479" s="46">
        <f t="shared" ca="1" si="422"/>
        <v>9.2103068116088805E-3</v>
      </c>
      <c r="E479" s="46">
        <f t="shared" ca="1" si="422"/>
        <v>4.5400375625304391E-2</v>
      </c>
      <c r="F479" s="46">
        <f t="shared" ca="1" si="422"/>
        <v>-1.8588842970495369E-2</v>
      </c>
      <c r="G479" s="185"/>
      <c r="H479" s="185"/>
      <c r="I479" s="185"/>
      <c r="J479" s="185"/>
      <c r="K479" s="46">
        <f ca="1">K$447/K473</f>
        <v>-9.8448098022616403E-3</v>
      </c>
      <c r="L479" s="185"/>
      <c r="M479" s="185"/>
      <c r="N479" s="185"/>
      <c r="O479" s="185"/>
      <c r="P479" s="46">
        <f ca="1">P$447/P473</f>
        <v>-1.0700331115217659E-2</v>
      </c>
      <c r="Q479" s="185"/>
      <c r="R479" s="185"/>
      <c r="S479" s="185"/>
      <c r="T479" s="185"/>
      <c r="U479" s="46">
        <f ca="1">U$447/U473</f>
        <v>-2.7848482309773808E-2</v>
      </c>
      <c r="V479" s="185"/>
      <c r="W479" s="185"/>
      <c r="X479" s="185"/>
      <c r="Y479" s="185"/>
      <c r="Z479" s="91">
        <f ca="1">Z$447/Z473</f>
        <v>-4.1604852496473284E-2</v>
      </c>
      <c r="AA479" s="185"/>
      <c r="AB479" s="185"/>
      <c r="AC479" s="185"/>
      <c r="AD479" s="185"/>
      <c r="AE479" s="91">
        <f ca="1">AE$447/AE473</f>
        <v>-2.8650074100216749E-2</v>
      </c>
      <c r="AF479" s="185"/>
      <c r="AG479" s="185"/>
      <c r="AH479" s="185"/>
      <c r="AI479" s="185"/>
      <c r="AJ479" s="91">
        <f ca="1">AJ$447/AJ473</f>
        <v>-2.2118447819114085E-2</v>
      </c>
      <c r="AK479" s="185"/>
      <c r="AL479" s="185"/>
      <c r="AM479" s="185"/>
      <c r="AN479" s="185"/>
      <c r="AO479" s="91">
        <f ca="1">AO$447/AO473</f>
        <v>-2.1426572036675477E-2</v>
      </c>
      <c r="AP479" s="185"/>
      <c r="AQ479" s="185"/>
      <c r="AR479" s="185"/>
      <c r="AS479" s="185"/>
      <c r="AT479" s="91">
        <f ca="1">AT$447/AT473</f>
        <v>9.6624926950083512E-3</v>
      </c>
      <c r="AU479" s="185"/>
      <c r="AV479" s="185"/>
      <c r="AW479" s="566"/>
      <c r="AX479" s="185"/>
      <c r="AY479" s="91">
        <f ca="1">AY$447/AY473</f>
        <v>3.2645455234770518E-3</v>
      </c>
      <c r="AZ479" s="185"/>
      <c r="BA479" s="185"/>
      <c r="BB479" s="185"/>
      <c r="BC479" s="185"/>
      <c r="BD479" s="91">
        <f ca="1">BD$447/BD473</f>
        <v>1.6097723064054527E-2</v>
      </c>
      <c r="BE479" s="91">
        <f ca="1">BE447/BE473</f>
        <v>2.5694661926272969E-2</v>
      </c>
      <c r="BF479" s="91">
        <f ca="1">BF447/BF473</f>
        <v>3.7596017543551255E-2</v>
      </c>
      <c r="BG479" s="91">
        <f ca="1">BG447/BG473</f>
        <v>5.0943139973340684E-2</v>
      </c>
      <c r="BH479" s="67"/>
    </row>
    <row r="480" spans="1:60" customFormat="1" x14ac:dyDescent="0.25">
      <c r="A480" s="75" t="str">
        <f>"FCF Yield % to "&amp;MO.ValuationToggle&amp;" Enterprise Value"</f>
        <v>FCF Yield % to Avg Enterprise Value</v>
      </c>
      <c r="B480" s="258"/>
      <c r="C480" s="46">
        <f t="shared" ca="1" si="422"/>
        <v>2.554170918155067E-2</v>
      </c>
      <c r="D480" s="46">
        <f t="shared" ca="1" si="422"/>
        <v>9.4297384411111251E-3</v>
      </c>
      <c r="E480" s="46">
        <f t="shared" ca="1" si="422"/>
        <v>6.2058817742650922E-2</v>
      </c>
      <c r="F480" s="46">
        <f t="shared" ca="1" si="422"/>
        <v>-1.9998511631256637E-2</v>
      </c>
      <c r="G480" s="185"/>
      <c r="H480" s="185"/>
      <c r="I480" s="185"/>
      <c r="J480" s="185"/>
      <c r="K480" s="46">
        <f ca="1">K$447/K474</f>
        <v>-1.0346866783396901E-2</v>
      </c>
      <c r="L480" s="185"/>
      <c r="M480" s="185"/>
      <c r="N480" s="185"/>
      <c r="O480" s="185"/>
      <c r="P480" s="46">
        <f ca="1">P$447/P474</f>
        <v>-1.1015295965774696E-2</v>
      </c>
      <c r="Q480" s="185"/>
      <c r="R480" s="185"/>
      <c r="S480" s="185"/>
      <c r="T480" s="185"/>
      <c r="U480" s="46">
        <f ca="1">U$447/U474</f>
        <v>-2.7805458937347913E-2</v>
      </c>
      <c r="V480" s="185"/>
      <c r="W480" s="185"/>
      <c r="X480" s="185"/>
      <c r="Y480" s="185"/>
      <c r="Z480" s="91">
        <f ca="1">Z$447/Z474</f>
        <v>-4.013411792082322E-2</v>
      </c>
      <c r="AA480" s="185"/>
      <c r="AB480" s="185"/>
      <c r="AC480" s="185"/>
      <c r="AD480" s="185"/>
      <c r="AE480" s="91">
        <f ca="1">AE$447/AE474</f>
        <v>-2.7265575629094155E-2</v>
      </c>
      <c r="AF480" s="185"/>
      <c r="AG480" s="185"/>
      <c r="AH480" s="185"/>
      <c r="AI480" s="185"/>
      <c r="AJ480" s="91">
        <f ca="1">AJ$447/AJ474</f>
        <v>-2.1156913170943006E-2</v>
      </c>
      <c r="AK480" s="185"/>
      <c r="AL480" s="185"/>
      <c r="AM480" s="185"/>
      <c r="AN480" s="185"/>
      <c r="AO480" s="91">
        <f ca="1">AO$447/AO474</f>
        <v>-1.9908538891561436E-2</v>
      </c>
      <c r="AP480" s="185"/>
      <c r="AQ480" s="185"/>
      <c r="AR480" s="185"/>
      <c r="AS480" s="185"/>
      <c r="AT480" s="91">
        <f ca="1">AT$447/AT474</f>
        <v>9.1970080877513231E-3</v>
      </c>
      <c r="AU480" s="185"/>
      <c r="AV480" s="185"/>
      <c r="AW480" s="566"/>
      <c r="AX480" s="185"/>
      <c r="AY480" s="91">
        <f ca="1">AY$447/AY474</f>
        <v>3.1391191378445232E-3</v>
      </c>
      <c r="AZ480" s="185"/>
      <c r="BA480" s="185"/>
      <c r="BB480" s="185"/>
      <c r="BC480" s="185"/>
      <c r="BD480" s="91">
        <f ca="1">BD$447/BD474</f>
        <v>1.5734227587508361E-2</v>
      </c>
      <c r="BE480" s="91">
        <f ca="1">BE447/BE474</f>
        <v>2.578478083670235E-2</v>
      </c>
      <c r="BF480" s="91">
        <f ca="1">BF447/BF474</f>
        <v>3.9251919648910075E-2</v>
      </c>
      <c r="BG480" s="91">
        <f ca="1">BG447/BG474</f>
        <v>5.6253482257774934E-2</v>
      </c>
      <c r="BH480" s="67"/>
    </row>
    <row r="481" spans="1:60" customFormat="1" hidden="1" outlineLevel="1" x14ac:dyDescent="0.25">
      <c r="A481" s="526"/>
      <c r="B481" s="258"/>
      <c r="C481" s="91"/>
      <c r="D481" s="91"/>
      <c r="E481" s="91"/>
      <c r="F481" s="91"/>
      <c r="G481" s="185"/>
      <c r="H481" s="185"/>
      <c r="I481" s="185"/>
      <c r="J481" s="185"/>
      <c r="K481" s="91"/>
      <c r="L481" s="185"/>
      <c r="M481" s="185"/>
      <c r="N481" s="185"/>
      <c r="O481" s="185"/>
      <c r="P481" s="91"/>
      <c r="Q481" s="185"/>
      <c r="R481" s="185"/>
      <c r="S481" s="185"/>
      <c r="T481" s="185"/>
      <c r="U481" s="91"/>
      <c r="V481" s="185"/>
      <c r="W481" s="185"/>
      <c r="X481" s="185"/>
      <c r="Y481" s="185"/>
      <c r="Z481" s="91"/>
      <c r="AA481" s="185"/>
      <c r="AB481" s="185"/>
      <c r="AC481" s="185"/>
      <c r="AD481" s="185"/>
      <c r="AE481" s="91"/>
      <c r="AF481" s="185"/>
      <c r="AG481" s="185"/>
      <c r="AH481" s="185"/>
      <c r="AI481" s="185"/>
      <c r="AJ481" s="91"/>
      <c r="AK481" s="185"/>
      <c r="AL481" s="185"/>
      <c r="AM481" s="185"/>
      <c r="AN481" s="185"/>
      <c r="AO481" s="91"/>
      <c r="AP481" s="185"/>
      <c r="AQ481" s="185"/>
      <c r="AR481" s="185"/>
      <c r="AS481" s="185"/>
      <c r="AT481" s="91"/>
      <c r="AU481" s="185"/>
      <c r="AV481" s="185"/>
      <c r="AW481" s="566"/>
      <c r="AX481" s="185"/>
      <c r="AY481" s="91"/>
      <c r="AZ481" s="185"/>
      <c r="BA481" s="185"/>
      <c r="BB481" s="185"/>
      <c r="BC481" s="185"/>
      <c r="BD481" s="91"/>
      <c r="BE481" s="91"/>
      <c r="BF481" s="91"/>
      <c r="BG481" s="91"/>
      <c r="BH481" s="67"/>
    </row>
    <row r="482" spans="1:60" customFormat="1" hidden="1" outlineLevel="1" x14ac:dyDescent="0.25">
      <c r="A482" s="310" t="str">
        <f ca="1">"Stock High, "&amp;HP.TradeCurrency</f>
        <v>Stock High, USD</v>
      </c>
      <c r="B482" s="527"/>
      <c r="C482" s="311">
        <f t="shared" ref="C482:AH482" ca="1" si="423">IF(INDEX(MO_SNA_IsHistoricalPeriod,1,COLUMN())=FALSE,0,INDEX(MO_SPT_StockHigh,1,COLUMN()))</f>
        <v>8.8071428571428605</v>
      </c>
      <c r="D482" s="311">
        <f t="shared" ca="1" si="423"/>
        <v>29.891428571428602</v>
      </c>
      <c r="E482" s="311">
        <f t="shared" ca="1" si="423"/>
        <v>6.2202040816326498</v>
      </c>
      <c r="F482" s="311">
        <f t="shared" ca="1" si="423"/>
        <v>19.0614285714286</v>
      </c>
      <c r="G482" s="312">
        <f t="shared" ca="1" si="423"/>
        <v>28.231428571428602</v>
      </c>
      <c r="H482" s="312">
        <f t="shared" ca="1" si="423"/>
        <v>35.549999999999997</v>
      </c>
      <c r="I482" s="312">
        <f t="shared" ca="1" si="423"/>
        <v>45.77</v>
      </c>
      <c r="J482" s="312">
        <f t="shared" ca="1" si="423"/>
        <v>55.594285714285697</v>
      </c>
      <c r="K482" s="311">
        <f t="shared" ca="1" si="423"/>
        <v>55.594285714285697</v>
      </c>
      <c r="L482" s="312">
        <f t="shared" ca="1" si="423"/>
        <v>65.430000000000007</v>
      </c>
      <c r="M482" s="312">
        <f t="shared" ca="1" si="423"/>
        <v>64.400000000000006</v>
      </c>
      <c r="N482" s="312">
        <f t="shared" ca="1" si="423"/>
        <v>69.900000000000006</v>
      </c>
      <c r="O482" s="312">
        <f t="shared" ca="1" si="423"/>
        <v>66.86</v>
      </c>
      <c r="P482" s="311">
        <f t="shared" ca="1" si="423"/>
        <v>69.900000000000006</v>
      </c>
      <c r="Q482" s="312">
        <f t="shared" ca="1" si="423"/>
        <v>69.5</v>
      </c>
      <c r="R482" s="312">
        <f t="shared" ca="1" si="423"/>
        <v>100.89</v>
      </c>
      <c r="S482" s="312">
        <f t="shared" ca="1" si="423"/>
        <v>129.29</v>
      </c>
      <c r="T482" s="312">
        <f t="shared" ca="1" si="423"/>
        <v>133.27000000000001</v>
      </c>
      <c r="U482" s="311">
        <f t="shared" ca="1" si="423"/>
        <v>133.27000000000001</v>
      </c>
      <c r="V482" s="312">
        <f t="shared" ca="1" si="423"/>
        <v>122.18</v>
      </c>
      <c r="W482" s="312">
        <f t="shared" ca="1" si="423"/>
        <v>111.85</v>
      </c>
      <c r="X482" s="312">
        <f t="shared" ca="1" si="423"/>
        <v>101.27</v>
      </c>
      <c r="Y482" s="312">
        <f t="shared" ca="1" si="423"/>
        <v>129.29</v>
      </c>
      <c r="Z482" s="313">
        <f t="shared" ca="1" si="423"/>
        <v>129.29</v>
      </c>
      <c r="AA482" s="312">
        <f t="shared" ca="1" si="423"/>
        <v>148.29</v>
      </c>
      <c r="AB482" s="312">
        <f t="shared" ca="1" si="423"/>
        <v>166.87</v>
      </c>
      <c r="AC482" s="312">
        <f t="shared" ca="1" si="423"/>
        <v>191.5</v>
      </c>
      <c r="AD482" s="312">
        <f t="shared" ca="1" si="423"/>
        <v>204.38</v>
      </c>
      <c r="AE482" s="313">
        <f t="shared" ca="1" si="423"/>
        <v>204.38</v>
      </c>
      <c r="AF482" s="312">
        <f t="shared" ca="1" si="423"/>
        <v>331.44</v>
      </c>
      <c r="AG482" s="312">
        <f t="shared" ca="1" si="423"/>
        <v>416.76</v>
      </c>
      <c r="AH482" s="312">
        <f t="shared" ca="1" si="423"/>
        <v>418.97</v>
      </c>
      <c r="AI482" s="312">
        <f t="shared" ref="AI482:AY482" ca="1" si="424">IF(INDEX(MO_SNA_IsHistoricalPeriod,1,COLUMN())=FALSE,0,INDEX(MO_SPT_StockHigh,1,COLUMN()))</f>
        <v>381.43</v>
      </c>
      <c r="AJ482" s="313">
        <f t="shared" ca="1" si="424"/>
        <v>418.97</v>
      </c>
      <c r="AK482" s="312">
        <f t="shared" ca="1" si="424"/>
        <v>377.87</v>
      </c>
      <c r="AL482" s="312">
        <f t="shared" ca="1" si="424"/>
        <v>385.03</v>
      </c>
      <c r="AM482" s="312">
        <f t="shared" ca="1" si="424"/>
        <v>381.72</v>
      </c>
      <c r="AN482" s="312">
        <f t="shared" ca="1" si="424"/>
        <v>336.9</v>
      </c>
      <c r="AO482" s="313">
        <f t="shared" ca="1" si="424"/>
        <v>385.03</v>
      </c>
      <c r="AP482" s="312">
        <f t="shared" ca="1" si="424"/>
        <v>387.78</v>
      </c>
      <c r="AQ482" s="312">
        <f t="shared" ca="1" si="424"/>
        <v>468.04</v>
      </c>
      <c r="AR482" s="312">
        <f ca="1">IF(INDEX(MO_SNA_IsHistoricalPeriod,1,COLUMN())=FALSE,0,INDEX(MO_SPT_StockHigh,1,COLUMN()))</f>
        <v>556.54999999999995</v>
      </c>
      <c r="AS482" s="312">
        <f ca="1">IF(INDEX(MO_SNA_IsHistoricalPeriod,1,COLUMN())=FALSE,0,INDEX(MO_SPT_StockHigh,1,COLUMN()))</f>
        <v>554.09</v>
      </c>
      <c r="AT482" s="313">
        <f ca="1">IF(INDEX(MO_SNA_IsHistoricalPeriod,1,COLUMN())=FALSE,0,INDEX(MO_SPT_StockHigh,1,COLUMN()))</f>
        <v>556.54999999999995</v>
      </c>
      <c r="AU482" s="312">
        <f t="shared" ca="1" si="424"/>
        <v>586.34</v>
      </c>
      <c r="AV482" s="312">
        <f ca="1">IF(INDEX(MO_SNA_IsHistoricalPeriod,1,COLUMN())=FALSE,0,INDEX(MO_SPT_StockHigh,1,COLUMN()))</f>
        <v>555.30999999999995</v>
      </c>
      <c r="AW482" s="592">
        <f ca="1">IF(INDEX(MO_SNA_IsHistoricalPeriod,1,COLUMN())=FALSE,0,INDEX(MO_SPT_StockHigh,1,COLUMN()))</f>
        <v>610.34</v>
      </c>
      <c r="AX482" s="312">
        <f t="shared" si="424"/>
        <v>0</v>
      </c>
      <c r="AY482" s="313">
        <f t="shared" si="424"/>
        <v>0</v>
      </c>
      <c r="AZ482" s="312">
        <f t="shared" ref="AZ482:BG482" si="425">IF(INDEX(MO_SNA_IsHistoricalPeriod,1,COLUMN())=FALSE,0,INDEX(MO_SPT_StockHigh,1,COLUMN()))</f>
        <v>0</v>
      </c>
      <c r="BA482" s="312">
        <f t="shared" si="425"/>
        <v>0</v>
      </c>
      <c r="BB482" s="312">
        <f t="shared" si="425"/>
        <v>0</v>
      </c>
      <c r="BC482" s="312">
        <f t="shared" si="425"/>
        <v>0</v>
      </c>
      <c r="BD482" s="313">
        <f t="shared" si="425"/>
        <v>0</v>
      </c>
      <c r="BE482" s="313">
        <f t="shared" si="425"/>
        <v>0</v>
      </c>
      <c r="BF482" s="313">
        <f t="shared" si="425"/>
        <v>0</v>
      </c>
      <c r="BG482" s="313">
        <f t="shared" si="425"/>
        <v>0</v>
      </c>
      <c r="BH482" s="277"/>
    </row>
    <row r="483" spans="1:60" customFormat="1" hidden="1" outlineLevel="1" x14ac:dyDescent="0.25">
      <c r="A483" s="310" t="str">
        <f ca="1">"Stock Low, "&amp;HP.TradeCurrency</f>
        <v>Stock Low, USD</v>
      </c>
      <c r="B483" s="527"/>
      <c r="C483" s="311">
        <f t="shared" ref="C483:AH483" ca="1" si="426">IF(INDEX(MO_SNA_IsHistoricalPeriod,1,COLUMN())=FALSE,0,INDEX(MO_SPT_StockLow,1,COLUMN()))</f>
        <v>4.1114285714285703</v>
      </c>
      <c r="D483" s="311">
        <f t="shared" ca="1" si="426"/>
        <v>6.9314285714285697</v>
      </c>
      <c r="E483" s="311">
        <f t="shared" ca="1" si="426"/>
        <v>1.27285714285714</v>
      </c>
      <c r="F483" s="311">
        <f t="shared" ca="1" si="426"/>
        <v>7.54428571428571</v>
      </c>
      <c r="G483" s="312">
        <f t="shared" ca="1" si="426"/>
        <v>12.955714285714301</v>
      </c>
      <c r="H483" s="312">
        <f t="shared" ca="1" si="426"/>
        <v>22.714285714285701</v>
      </c>
      <c r="I483" s="312">
        <f t="shared" ca="1" si="426"/>
        <v>30.285714285714299</v>
      </c>
      <c r="J483" s="312">
        <f t="shared" ca="1" si="426"/>
        <v>40.4</v>
      </c>
      <c r="K483" s="311">
        <f t="shared" ca="1" si="426"/>
        <v>12.955714285714301</v>
      </c>
      <c r="L483" s="312">
        <f t="shared" ca="1" si="426"/>
        <v>45.58</v>
      </c>
      <c r="M483" s="312">
        <f t="shared" ca="1" si="426"/>
        <v>42.79</v>
      </c>
      <c r="N483" s="312">
        <f t="shared" ca="1" si="426"/>
        <v>58.93</v>
      </c>
      <c r="O483" s="312">
        <f t="shared" ca="1" si="426"/>
        <v>45.08</v>
      </c>
      <c r="P483" s="311">
        <f t="shared" ca="1" si="426"/>
        <v>42.79</v>
      </c>
      <c r="Q483" s="312">
        <f t="shared" ca="1" si="426"/>
        <v>45.26</v>
      </c>
      <c r="R483" s="312">
        <f t="shared" ca="1" si="426"/>
        <v>58.46</v>
      </c>
      <c r="S483" s="312">
        <f t="shared" ca="1" si="426"/>
        <v>85.5</v>
      </c>
      <c r="T483" s="312">
        <f t="shared" ca="1" si="426"/>
        <v>96.26</v>
      </c>
      <c r="U483" s="311">
        <f t="shared" ca="1" si="426"/>
        <v>45.26</v>
      </c>
      <c r="V483" s="312">
        <f t="shared" ca="1" si="426"/>
        <v>79.95</v>
      </c>
      <c r="W483" s="312">
        <f t="shared" ca="1" si="426"/>
        <v>84.81</v>
      </c>
      <c r="X483" s="312">
        <f t="shared" ca="1" si="426"/>
        <v>84.5</v>
      </c>
      <c r="Y483" s="312">
        <f t="shared" ca="1" si="426"/>
        <v>97.63</v>
      </c>
      <c r="Z483" s="313">
        <f t="shared" ca="1" si="426"/>
        <v>79.95</v>
      </c>
      <c r="AA483" s="312">
        <f t="shared" ca="1" si="426"/>
        <v>124.31</v>
      </c>
      <c r="AB483" s="312">
        <f t="shared" ca="1" si="426"/>
        <v>138.66</v>
      </c>
      <c r="AC483" s="312">
        <f t="shared" ca="1" si="426"/>
        <v>144.25</v>
      </c>
      <c r="AD483" s="312">
        <f t="shared" ca="1" si="426"/>
        <v>176.58</v>
      </c>
      <c r="AE483" s="313">
        <f t="shared" ca="1" si="426"/>
        <v>124.31</v>
      </c>
      <c r="AF483" s="312">
        <f t="shared" ca="1" si="426"/>
        <v>201.07</v>
      </c>
      <c r="AG483" s="312">
        <f t="shared" ca="1" si="426"/>
        <v>280.29000000000002</v>
      </c>
      <c r="AH483" s="312">
        <f t="shared" ca="1" si="426"/>
        <v>316.77999999999997</v>
      </c>
      <c r="AI483" s="312">
        <f t="shared" ref="AI483:AY483" ca="1" si="427">IF(INDEX(MO_SNA_IsHistoricalPeriod,1,COLUMN())=FALSE,0,INDEX(MO_SPT_StockLow,1,COLUMN()))</f>
        <v>233.88</v>
      </c>
      <c r="AJ483" s="313">
        <f t="shared" ca="1" si="427"/>
        <v>201.07</v>
      </c>
      <c r="AK483" s="312">
        <f t="shared" ca="1" si="427"/>
        <v>267.66000000000003</v>
      </c>
      <c r="AL483" s="312">
        <f t="shared" ca="1" si="427"/>
        <v>336.63</v>
      </c>
      <c r="AM483" s="312">
        <f t="shared" ca="1" si="427"/>
        <v>254.59</v>
      </c>
      <c r="AN483" s="312">
        <f t="shared" ca="1" si="427"/>
        <v>266.69</v>
      </c>
      <c r="AO483" s="313">
        <f t="shared" ca="1" si="427"/>
        <v>254.59</v>
      </c>
      <c r="AP483" s="312">
        <f t="shared" ca="1" si="427"/>
        <v>298.83999999999997</v>
      </c>
      <c r="AQ483" s="312">
        <f t="shared" ca="1" si="427"/>
        <v>361.76</v>
      </c>
      <c r="AR483" s="312">
        <f ca="1">IF(INDEX(MO_SNA_IsHistoricalPeriod,1,COLUMN())=FALSE,0,INDEX(MO_SPT_StockLow,1,COLUMN()))</f>
        <v>466.93</v>
      </c>
      <c r="AS483" s="312">
        <f ca="1">IF(INDEX(MO_SNA_IsHistoricalPeriod,1,COLUMN())=FALSE,0,INDEX(MO_SPT_StockLow,1,COLUMN()))</f>
        <v>470.5</v>
      </c>
      <c r="AT483" s="313">
        <f ca="1">IF(INDEX(MO_SNA_IsHistoricalPeriod,1,COLUMN())=FALSE,0,INDEX(MO_SPT_StockLow,1,COLUMN()))</f>
        <v>298.83999999999997</v>
      </c>
      <c r="AU483" s="312">
        <f t="shared" ca="1" si="427"/>
        <v>493.33</v>
      </c>
      <c r="AV483" s="312">
        <f ca="1">IF(INDEX(MO_SNA_IsHistoricalPeriod,1,COLUMN())=FALSE,0,INDEX(MO_SPT_StockLow,1,COLUMN()))</f>
        <v>484.98</v>
      </c>
      <c r="AW483" s="592">
        <f ca="1">IF(INDEX(MO_SNA_IsHistoricalPeriod,1,COLUMN())=FALSE,0,INDEX(MO_SPT_StockLow,1,COLUMN()))</f>
        <v>510.72</v>
      </c>
      <c r="AX483" s="312">
        <f t="shared" si="427"/>
        <v>0</v>
      </c>
      <c r="AY483" s="313">
        <f t="shared" si="427"/>
        <v>0</v>
      </c>
      <c r="AZ483" s="312">
        <f t="shared" ref="AZ483:BG483" si="428">IF(INDEX(MO_SNA_IsHistoricalPeriod,1,COLUMN())=FALSE,0,INDEX(MO_SPT_StockLow,1,COLUMN()))</f>
        <v>0</v>
      </c>
      <c r="BA483" s="312">
        <f t="shared" si="428"/>
        <v>0</v>
      </c>
      <c r="BB483" s="312">
        <f t="shared" si="428"/>
        <v>0</v>
      </c>
      <c r="BC483" s="312">
        <f t="shared" si="428"/>
        <v>0</v>
      </c>
      <c r="BD483" s="313">
        <f t="shared" si="428"/>
        <v>0</v>
      </c>
      <c r="BE483" s="313">
        <f t="shared" si="428"/>
        <v>0</v>
      </c>
      <c r="BF483" s="313">
        <f t="shared" si="428"/>
        <v>0</v>
      </c>
      <c r="BG483" s="313">
        <f t="shared" si="428"/>
        <v>0</v>
      </c>
      <c r="BH483" s="277"/>
    </row>
    <row r="484" spans="1:60" customFormat="1" hidden="1" outlineLevel="1" x14ac:dyDescent="0.25">
      <c r="A484" s="310" t="str">
        <f ca="1">"Stock Average, "&amp;HP.TradeCurrency</f>
        <v>Stock Average, USD</v>
      </c>
      <c r="B484" s="527"/>
      <c r="C484" s="311">
        <f t="shared" ref="C484:AH484" ca="1" si="429">IF(INDEX(MO_SNA_IsHistoricalPeriod,1,COLUMN())=FALSE,0,INDEX(MO_SPT_StockAverage,1,COLUMN()))</f>
        <v>6.2816071428571396</v>
      </c>
      <c r="D484" s="311">
        <f t="shared" ca="1" si="429"/>
        <v>17.001249999999999</v>
      </c>
      <c r="E484" s="311">
        <f t="shared" ca="1" si="429"/>
        <v>3.8940051020408202</v>
      </c>
      <c r="F484" s="311">
        <f t="shared" ca="1" si="429"/>
        <v>11.9760714285714</v>
      </c>
      <c r="G484" s="312">
        <f t="shared" ca="1" si="429"/>
        <v>20.593571428571401</v>
      </c>
      <c r="H484" s="312">
        <f t="shared" ca="1" si="429"/>
        <v>29.132142857142899</v>
      </c>
      <c r="I484" s="312">
        <f t="shared" ca="1" si="429"/>
        <v>38.027857142857101</v>
      </c>
      <c r="J484" s="312">
        <f t="shared" ca="1" si="429"/>
        <v>47.997142857142897</v>
      </c>
      <c r="K484" s="311">
        <f t="shared" ca="1" si="429"/>
        <v>33.937678571428599</v>
      </c>
      <c r="L484" s="312">
        <f t="shared" ca="1" si="429"/>
        <v>55.505000000000003</v>
      </c>
      <c r="M484" s="312">
        <f t="shared" ca="1" si="429"/>
        <v>53.594999999999999</v>
      </c>
      <c r="N484" s="312">
        <f t="shared" ca="1" si="429"/>
        <v>64.415000000000006</v>
      </c>
      <c r="O484" s="312">
        <f t="shared" ca="1" si="429"/>
        <v>55.97</v>
      </c>
      <c r="P484" s="311">
        <f t="shared" ca="1" si="429"/>
        <v>57.371250000000003</v>
      </c>
      <c r="Q484" s="312">
        <f t="shared" ca="1" si="429"/>
        <v>57.38</v>
      </c>
      <c r="R484" s="312">
        <f t="shared" ca="1" si="429"/>
        <v>79.674999999999997</v>
      </c>
      <c r="S484" s="312">
        <f t="shared" ca="1" si="429"/>
        <v>107.395</v>
      </c>
      <c r="T484" s="312">
        <f t="shared" ca="1" si="429"/>
        <v>114.765</v>
      </c>
      <c r="U484" s="311">
        <f t="shared" ca="1" si="429"/>
        <v>89.803749999999994</v>
      </c>
      <c r="V484" s="312">
        <f t="shared" ca="1" si="429"/>
        <v>101.065</v>
      </c>
      <c r="W484" s="312">
        <f t="shared" ca="1" si="429"/>
        <v>98.33</v>
      </c>
      <c r="X484" s="312">
        <f t="shared" ca="1" si="429"/>
        <v>92.885000000000005</v>
      </c>
      <c r="Y484" s="312">
        <f t="shared" ca="1" si="429"/>
        <v>113.46</v>
      </c>
      <c r="Z484" s="313">
        <f t="shared" ca="1" si="429"/>
        <v>101.435</v>
      </c>
      <c r="AA484" s="312">
        <f t="shared" ca="1" si="429"/>
        <v>136.30000000000001</v>
      </c>
      <c r="AB484" s="312">
        <f t="shared" ca="1" si="429"/>
        <v>152.76499999999999</v>
      </c>
      <c r="AC484" s="312">
        <f t="shared" ca="1" si="429"/>
        <v>167.875</v>
      </c>
      <c r="AD484" s="312">
        <f t="shared" ca="1" si="429"/>
        <v>190.48</v>
      </c>
      <c r="AE484" s="313">
        <f t="shared" ca="1" si="429"/>
        <v>161.85499999999999</v>
      </c>
      <c r="AF484" s="312">
        <f t="shared" ca="1" si="429"/>
        <v>272.21786885245899</v>
      </c>
      <c r="AG484" s="312">
        <f t="shared" ca="1" si="429"/>
        <v>340.89687500000002</v>
      </c>
      <c r="AH484" s="312">
        <f t="shared" ca="1" si="429"/>
        <v>362.95142857142901</v>
      </c>
      <c r="AI484" s="312">
        <f t="shared" ref="AI484:AY484" ca="1" si="430">IF(INDEX(MO_SNA_IsHistoricalPeriod,1,COLUMN())=FALSE,0,INDEX(MO_SPT_StockAverage,1,COLUMN()))</f>
        <v>299.25769841269801</v>
      </c>
      <c r="AJ484" s="313">
        <f t="shared" ca="1" si="430"/>
        <v>319.290298804781</v>
      </c>
      <c r="AK484" s="312">
        <f t="shared" ca="1" si="430"/>
        <v>346.66885245901602</v>
      </c>
      <c r="AL484" s="312">
        <f t="shared" ca="1" si="430"/>
        <v>360.777777777778</v>
      </c>
      <c r="AM484" s="312">
        <f t="shared" ca="1" si="430"/>
        <v>312.88953125</v>
      </c>
      <c r="AN484" s="312">
        <f t="shared" ca="1" si="430"/>
        <v>296.48171875000003</v>
      </c>
      <c r="AO484" s="313">
        <f t="shared" ca="1" si="430"/>
        <v>328.87126984127002</v>
      </c>
      <c r="AP484" s="312">
        <f t="shared" ca="1" si="430"/>
        <v>353.77717741935498</v>
      </c>
      <c r="AQ484" s="312">
        <f t="shared" ca="1" si="430"/>
        <v>425.61777777777797</v>
      </c>
      <c r="AR484" s="312">
        <f ca="1">IF(INDEX(MO_SNA_IsHistoricalPeriod,1,COLUMN())=FALSE,0,INDEX(MO_SPT_StockAverage,1,COLUMN()))</f>
        <v>497.6978125</v>
      </c>
      <c r="AS484" s="312">
        <f ca="1">IF(INDEX(MO_SNA_IsHistoricalPeriod,1,COLUMN())=FALSE,0,INDEX(MO_SPT_StockAverage,1,COLUMN()))</f>
        <v>506.97687500000001</v>
      </c>
      <c r="AT484" s="313">
        <f ca="1">IF(INDEX(MO_SNA_IsHistoricalPeriod,1,COLUMN())=FALSE,0,INDEX(MO_SPT_StockAverage,1,COLUMN()))</f>
        <v>446.82721343873601</v>
      </c>
      <c r="AU484" s="312">
        <f t="shared" ca="1" si="430"/>
        <v>530.43606557377097</v>
      </c>
      <c r="AV484" s="312">
        <f ca="1">IF(INDEX(MO_SNA_IsHistoricalPeriod,1,COLUMN())=FALSE,0,INDEX(MO_SPT_StockAverage,1,COLUMN()))</f>
        <v>511.16333333333301</v>
      </c>
      <c r="AW484" s="592">
        <f ca="1">IF(INDEX(MO_SNA_IsHistoricalPeriod,1,COLUMN())=FALSE,0,INDEX(MO_SPT_StockAverage,1,COLUMN()))</f>
        <v>550.33171875000005</v>
      </c>
      <c r="AX484" s="312">
        <f t="shared" si="430"/>
        <v>0</v>
      </c>
      <c r="AY484" s="313">
        <f t="shared" si="430"/>
        <v>0</v>
      </c>
      <c r="AZ484" s="312">
        <f t="shared" ref="AZ484:BG484" si="431">IF(INDEX(MO_SNA_IsHistoricalPeriod,1,COLUMN())=FALSE,0,INDEX(MO_SPT_StockAverage,1,COLUMN()))</f>
        <v>0</v>
      </c>
      <c r="BA484" s="312">
        <f t="shared" si="431"/>
        <v>0</v>
      </c>
      <c r="BB484" s="312">
        <f t="shared" si="431"/>
        <v>0</v>
      </c>
      <c r="BC484" s="312">
        <f t="shared" si="431"/>
        <v>0</v>
      </c>
      <c r="BD484" s="313">
        <f t="shared" si="431"/>
        <v>0</v>
      </c>
      <c r="BE484" s="313">
        <f t="shared" si="431"/>
        <v>0</v>
      </c>
      <c r="BF484" s="313">
        <f t="shared" si="431"/>
        <v>0</v>
      </c>
      <c r="BG484" s="313">
        <f t="shared" si="431"/>
        <v>0</v>
      </c>
      <c r="BH484" s="277"/>
    </row>
    <row r="485" spans="1:60" customFormat="1" hidden="1" outlineLevel="1" x14ac:dyDescent="0.25">
      <c r="A485" s="314" t="str">
        <f ca="1">"Average FX Rate, "&amp;HP.TradeCurrency&amp;"/"&amp;MO.ReportCurrency</f>
        <v>Average FX Rate, USD/USD</v>
      </c>
      <c r="B485" s="528"/>
      <c r="C485" s="315">
        <f t="shared" ref="C485:AH485" ca="1" si="432">IF(INDEX(MO_SPT_FXAverage,1,COLUMN())=0,1,INDEX(MO_SPT_FXAverage,1,COLUMN()))</f>
        <v>1</v>
      </c>
      <c r="D485" s="315">
        <f t="shared" ca="1" si="432"/>
        <v>1</v>
      </c>
      <c r="E485" s="315">
        <f t="shared" ca="1" si="432"/>
        <v>1</v>
      </c>
      <c r="F485" s="315">
        <f t="shared" ca="1" si="432"/>
        <v>1</v>
      </c>
      <c r="G485" s="316">
        <f t="shared" ca="1" si="432"/>
        <v>1</v>
      </c>
      <c r="H485" s="316">
        <f t="shared" ca="1" si="432"/>
        <v>1</v>
      </c>
      <c r="I485" s="316">
        <f t="shared" ca="1" si="432"/>
        <v>1</v>
      </c>
      <c r="J485" s="316">
        <f t="shared" ca="1" si="432"/>
        <v>1</v>
      </c>
      <c r="K485" s="315">
        <f t="shared" ca="1" si="432"/>
        <v>1</v>
      </c>
      <c r="L485" s="316">
        <f t="shared" ca="1" si="432"/>
        <v>1</v>
      </c>
      <c r="M485" s="316">
        <f t="shared" ca="1" si="432"/>
        <v>1</v>
      </c>
      <c r="N485" s="316">
        <f t="shared" ca="1" si="432"/>
        <v>1</v>
      </c>
      <c r="O485" s="316">
        <f t="shared" ca="1" si="432"/>
        <v>1</v>
      </c>
      <c r="P485" s="315">
        <f t="shared" ca="1" si="432"/>
        <v>1</v>
      </c>
      <c r="Q485" s="316">
        <f t="shared" ca="1" si="432"/>
        <v>1</v>
      </c>
      <c r="R485" s="316">
        <f t="shared" ca="1" si="432"/>
        <v>1</v>
      </c>
      <c r="S485" s="316">
        <f t="shared" ca="1" si="432"/>
        <v>1</v>
      </c>
      <c r="T485" s="316">
        <f t="shared" ca="1" si="432"/>
        <v>1</v>
      </c>
      <c r="U485" s="315">
        <f t="shared" ca="1" si="432"/>
        <v>1</v>
      </c>
      <c r="V485" s="316">
        <f t="shared" ca="1" si="432"/>
        <v>1</v>
      </c>
      <c r="W485" s="316">
        <f t="shared" ca="1" si="432"/>
        <v>1</v>
      </c>
      <c r="X485" s="316">
        <f t="shared" ca="1" si="432"/>
        <v>1</v>
      </c>
      <c r="Y485" s="316">
        <f t="shared" ca="1" si="432"/>
        <v>1</v>
      </c>
      <c r="Z485" s="317">
        <f t="shared" ca="1" si="432"/>
        <v>1</v>
      </c>
      <c r="AA485" s="316">
        <f t="shared" ca="1" si="432"/>
        <v>1</v>
      </c>
      <c r="AB485" s="316">
        <f t="shared" ca="1" si="432"/>
        <v>1</v>
      </c>
      <c r="AC485" s="316">
        <f t="shared" ca="1" si="432"/>
        <v>1</v>
      </c>
      <c r="AD485" s="316">
        <f t="shared" ca="1" si="432"/>
        <v>1</v>
      </c>
      <c r="AE485" s="317">
        <f t="shared" ca="1" si="432"/>
        <v>1</v>
      </c>
      <c r="AF485" s="316">
        <f t="shared" ca="1" si="432"/>
        <v>1</v>
      </c>
      <c r="AG485" s="316">
        <f t="shared" ca="1" si="432"/>
        <v>1</v>
      </c>
      <c r="AH485" s="316">
        <f t="shared" ca="1" si="432"/>
        <v>1</v>
      </c>
      <c r="AI485" s="316">
        <f t="shared" ref="AI485:AY485" ca="1" si="433">IF(INDEX(MO_SPT_FXAverage,1,COLUMN())=0,1,INDEX(MO_SPT_FXAverage,1,COLUMN()))</f>
        <v>1</v>
      </c>
      <c r="AJ485" s="317">
        <f t="shared" ca="1" si="433"/>
        <v>1</v>
      </c>
      <c r="AK485" s="316">
        <f t="shared" ca="1" si="433"/>
        <v>1</v>
      </c>
      <c r="AL485" s="316">
        <f t="shared" ca="1" si="433"/>
        <v>1</v>
      </c>
      <c r="AM485" s="316">
        <f t="shared" ca="1" si="433"/>
        <v>1</v>
      </c>
      <c r="AN485" s="316">
        <f t="shared" ca="1" si="433"/>
        <v>1</v>
      </c>
      <c r="AO485" s="317">
        <f t="shared" ca="1" si="433"/>
        <v>1</v>
      </c>
      <c r="AP485" s="316">
        <f t="shared" ca="1" si="433"/>
        <v>1</v>
      </c>
      <c r="AQ485" s="316">
        <f t="shared" ca="1" si="433"/>
        <v>1</v>
      </c>
      <c r="AR485" s="316">
        <f ca="1">IF(INDEX(MO_SPT_FXAverage,1,COLUMN())=0,1,INDEX(MO_SPT_FXAverage,1,COLUMN()))</f>
        <v>1</v>
      </c>
      <c r="AS485" s="316">
        <f ca="1">IF(INDEX(MO_SPT_FXAverage,1,COLUMN())=0,1,INDEX(MO_SPT_FXAverage,1,COLUMN()))</f>
        <v>1</v>
      </c>
      <c r="AT485" s="317">
        <f ca="1">IF(INDEX(MO_SPT_FXAverage,1,COLUMN())=0,1,INDEX(MO_SPT_FXAverage,1,COLUMN()))</f>
        <v>1</v>
      </c>
      <c r="AU485" s="316">
        <f t="shared" ca="1" si="433"/>
        <v>1</v>
      </c>
      <c r="AV485" s="316">
        <f ca="1">IF(INDEX(MO_SPT_FXAverage,1,COLUMN())=0,1,INDEX(MO_SPT_FXAverage,1,COLUMN()))</f>
        <v>1</v>
      </c>
      <c r="AW485" s="593">
        <f ca="1">IF(INDEX(MO_SPT_FXAverage,1,COLUMN())=0,1,INDEX(MO_SPT_FXAverage,1,COLUMN()))</f>
        <v>1</v>
      </c>
      <c r="AX485" s="316">
        <f t="shared" ca="1" si="433"/>
        <v>1</v>
      </c>
      <c r="AY485" s="317">
        <f t="shared" ca="1" si="433"/>
        <v>1</v>
      </c>
      <c r="AZ485" s="316">
        <f t="shared" ref="AZ485:BG485" ca="1" si="434">IF(INDEX(MO_SPT_FXAverage,1,COLUMN())=0,1,INDEX(MO_SPT_FXAverage,1,COLUMN()))</f>
        <v>1</v>
      </c>
      <c r="BA485" s="316">
        <f t="shared" ca="1" si="434"/>
        <v>1</v>
      </c>
      <c r="BB485" s="316">
        <f t="shared" ca="1" si="434"/>
        <v>1</v>
      </c>
      <c r="BC485" s="316">
        <f t="shared" ca="1" si="434"/>
        <v>1</v>
      </c>
      <c r="BD485" s="317">
        <f t="shared" ca="1" si="434"/>
        <v>1</v>
      </c>
      <c r="BE485" s="317">
        <f t="shared" ca="1" si="434"/>
        <v>1</v>
      </c>
      <c r="BF485" s="317">
        <f t="shared" ca="1" si="434"/>
        <v>1</v>
      </c>
      <c r="BG485" s="317">
        <f t="shared" ca="1" si="434"/>
        <v>1</v>
      </c>
      <c r="BH485" s="308"/>
    </row>
    <row r="486" spans="1:60" customFormat="1" hidden="1" outlineLevel="1" x14ac:dyDescent="0.25">
      <c r="A486" s="310" t="str">
        <f ca="1">"Stock Price (Trading Cur.) - "&amp;MO.ValuationToggle&amp;", "&amp;HP.TradeCurrency</f>
        <v>Stock Price (Trading Cur.) - Avg, USD</v>
      </c>
      <c r="B486" s="527"/>
      <c r="C486" s="311">
        <f t="shared" ref="C486:AH486" ca="1" si="435">IF(INDEX(MO_SNA_IsHistoricalPeriod,1,COLUMN())=FALSE,MO.LastPrice,CHOOSE(VLOOKUP(MO.ValuationToggle,tb_ValuationToggle,COLUMNS(tb_ValuationToggle),FALSE),C482,C483,C484))</f>
        <v>6.2816071428571396</v>
      </c>
      <c r="D486" s="311">
        <f t="shared" ca="1" si="435"/>
        <v>17.001249999999999</v>
      </c>
      <c r="E486" s="311">
        <f t="shared" ca="1" si="435"/>
        <v>3.8940051020408202</v>
      </c>
      <c r="F486" s="311">
        <f t="shared" ca="1" si="435"/>
        <v>11.9760714285714</v>
      </c>
      <c r="G486" s="312">
        <f t="shared" ca="1" si="435"/>
        <v>20.593571428571401</v>
      </c>
      <c r="H486" s="312">
        <f t="shared" ca="1" si="435"/>
        <v>29.132142857142899</v>
      </c>
      <c r="I486" s="312">
        <f t="shared" ca="1" si="435"/>
        <v>38.027857142857101</v>
      </c>
      <c r="J486" s="312">
        <f t="shared" ca="1" si="435"/>
        <v>47.997142857142897</v>
      </c>
      <c r="K486" s="311">
        <f t="shared" ca="1" si="435"/>
        <v>33.937678571428599</v>
      </c>
      <c r="L486" s="312">
        <f t="shared" ca="1" si="435"/>
        <v>55.505000000000003</v>
      </c>
      <c r="M486" s="312">
        <f t="shared" ca="1" si="435"/>
        <v>53.594999999999999</v>
      </c>
      <c r="N486" s="312">
        <f t="shared" ca="1" si="435"/>
        <v>64.415000000000006</v>
      </c>
      <c r="O486" s="312">
        <f t="shared" ca="1" si="435"/>
        <v>55.97</v>
      </c>
      <c r="P486" s="311">
        <f t="shared" ca="1" si="435"/>
        <v>57.371250000000003</v>
      </c>
      <c r="Q486" s="312">
        <f t="shared" ca="1" si="435"/>
        <v>57.38</v>
      </c>
      <c r="R486" s="312">
        <f t="shared" ca="1" si="435"/>
        <v>79.674999999999997</v>
      </c>
      <c r="S486" s="312">
        <f t="shared" ca="1" si="435"/>
        <v>107.395</v>
      </c>
      <c r="T486" s="312">
        <f t="shared" ca="1" si="435"/>
        <v>114.765</v>
      </c>
      <c r="U486" s="311">
        <f t="shared" ca="1" si="435"/>
        <v>89.803749999999994</v>
      </c>
      <c r="V486" s="312">
        <f t="shared" ca="1" si="435"/>
        <v>101.065</v>
      </c>
      <c r="W486" s="312">
        <f t="shared" ca="1" si="435"/>
        <v>98.33</v>
      </c>
      <c r="X486" s="312">
        <f t="shared" ca="1" si="435"/>
        <v>92.885000000000005</v>
      </c>
      <c r="Y486" s="312">
        <f t="shared" ca="1" si="435"/>
        <v>113.46</v>
      </c>
      <c r="Z486" s="313">
        <f t="shared" ca="1" si="435"/>
        <v>101.435</v>
      </c>
      <c r="AA486" s="312">
        <f t="shared" ca="1" si="435"/>
        <v>136.30000000000001</v>
      </c>
      <c r="AB486" s="312">
        <f t="shared" ca="1" si="435"/>
        <v>152.76499999999999</v>
      </c>
      <c r="AC486" s="312">
        <f t="shared" ca="1" si="435"/>
        <v>167.875</v>
      </c>
      <c r="AD486" s="312">
        <f t="shared" ca="1" si="435"/>
        <v>190.48</v>
      </c>
      <c r="AE486" s="313">
        <f t="shared" ca="1" si="435"/>
        <v>161.85499999999999</v>
      </c>
      <c r="AF486" s="312">
        <f t="shared" ca="1" si="435"/>
        <v>272.21786885245899</v>
      </c>
      <c r="AG486" s="312">
        <f t="shared" ca="1" si="435"/>
        <v>340.89687500000002</v>
      </c>
      <c r="AH486" s="312">
        <f t="shared" ca="1" si="435"/>
        <v>362.95142857142901</v>
      </c>
      <c r="AI486" s="312">
        <f t="shared" ref="AI486:AY486" ca="1" si="436">IF(INDEX(MO_SNA_IsHistoricalPeriod,1,COLUMN())=FALSE,MO.LastPrice,CHOOSE(VLOOKUP(MO.ValuationToggle,tb_ValuationToggle,COLUMNS(tb_ValuationToggle),FALSE),AI482,AI483,AI484))</f>
        <v>299.25769841269801</v>
      </c>
      <c r="AJ486" s="313">
        <f t="shared" ca="1" si="436"/>
        <v>319.290298804781</v>
      </c>
      <c r="AK486" s="312">
        <f t="shared" ca="1" si="436"/>
        <v>346.66885245901602</v>
      </c>
      <c r="AL486" s="312">
        <f t="shared" ca="1" si="436"/>
        <v>360.777777777778</v>
      </c>
      <c r="AM486" s="312">
        <f t="shared" ca="1" si="436"/>
        <v>312.88953125</v>
      </c>
      <c r="AN486" s="312">
        <f t="shared" ca="1" si="436"/>
        <v>296.48171875000003</v>
      </c>
      <c r="AO486" s="313">
        <f t="shared" ca="1" si="436"/>
        <v>328.87126984127002</v>
      </c>
      <c r="AP486" s="312">
        <f t="shared" ca="1" si="436"/>
        <v>353.77717741935498</v>
      </c>
      <c r="AQ486" s="312">
        <f t="shared" ca="1" si="436"/>
        <v>425.61777777777797</v>
      </c>
      <c r="AR486" s="312">
        <f ca="1">IF(INDEX(MO_SNA_IsHistoricalPeriod,1,COLUMN())=FALSE,MO.LastPrice,CHOOSE(VLOOKUP(MO.ValuationToggle,tb_ValuationToggle,COLUMNS(tb_ValuationToggle),FALSE),AR482,AR483,AR484))</f>
        <v>497.6978125</v>
      </c>
      <c r="AS486" s="312">
        <f ca="1">IF(INDEX(MO_SNA_IsHistoricalPeriod,1,COLUMN())=FALSE,MO.LastPrice,CHOOSE(VLOOKUP(MO.ValuationToggle,tb_ValuationToggle,COLUMNS(tb_ValuationToggle),FALSE),AS482,AS483,AS484))</f>
        <v>506.97687500000001</v>
      </c>
      <c r="AT486" s="313">
        <f ca="1">IF(INDEX(MO_SNA_IsHistoricalPeriod,1,COLUMN())=FALSE,MO.LastPrice,CHOOSE(VLOOKUP(MO.ValuationToggle,tb_ValuationToggle,COLUMNS(tb_ValuationToggle),FALSE),AT482,AT483,AT484))</f>
        <v>446.82721343873601</v>
      </c>
      <c r="AU486" s="312">
        <f t="shared" ref="AU486" ca="1" si="437">IF(INDEX(MO_SNA_IsHistoricalPeriod,1,COLUMN())=FALSE,MO.LastPrice,CHOOSE(VLOOKUP(MO.ValuationToggle,tb_ValuationToggle,COLUMNS(tb_ValuationToggle),FALSE),AU482,AU483,AU484))</f>
        <v>530.43606557377097</v>
      </c>
      <c r="AV486" s="312">
        <f ca="1">IF(INDEX(MO_SNA_IsHistoricalPeriod,1,COLUMN())=FALSE,MO.LastPrice,CHOOSE(VLOOKUP(MO.ValuationToggle,tb_ValuationToggle,COLUMNS(tb_ValuationToggle),FALSE),AV482,AV483,AV484))</f>
        <v>511.16333333333301</v>
      </c>
      <c r="AW486" s="592">
        <f ca="1">IF(INDEX(MO_SNA_IsHistoricalPeriod,1,COLUMN())=FALSE,MO.LastPrice,CHOOSE(VLOOKUP(MO.ValuationToggle,tb_ValuationToggle,COLUMNS(tb_ValuationToggle),FALSE),AW482,AW483,AW484))</f>
        <v>550.33171875000005</v>
      </c>
      <c r="AX486" s="312">
        <f t="shared" ca="1" si="436"/>
        <v>553.29</v>
      </c>
      <c r="AY486" s="313">
        <f t="shared" ca="1" si="436"/>
        <v>553.29</v>
      </c>
      <c r="AZ486" s="312">
        <f t="shared" ref="AZ486:BG486" ca="1" si="438">IF(INDEX(MO_SNA_IsHistoricalPeriod,1,COLUMN())=FALSE,MO.LastPrice,CHOOSE(VLOOKUP(MO.ValuationToggle,tb_ValuationToggle,COLUMNS(tb_ValuationToggle),FALSE),AZ482,AZ483,AZ484))</f>
        <v>553.29</v>
      </c>
      <c r="BA486" s="312">
        <f t="shared" ca="1" si="438"/>
        <v>553.29</v>
      </c>
      <c r="BB486" s="312">
        <f t="shared" ca="1" si="438"/>
        <v>553.29</v>
      </c>
      <c r="BC486" s="312">
        <f t="shared" ca="1" si="438"/>
        <v>553.29</v>
      </c>
      <c r="BD486" s="313">
        <f t="shared" ca="1" si="438"/>
        <v>553.29</v>
      </c>
      <c r="BE486" s="313">
        <f t="shared" ca="1" si="438"/>
        <v>553.29</v>
      </c>
      <c r="BF486" s="313">
        <f t="shared" ca="1" si="438"/>
        <v>553.29</v>
      </c>
      <c r="BG486" s="313">
        <f t="shared" ca="1" si="438"/>
        <v>553.29</v>
      </c>
      <c r="BH486" s="277"/>
    </row>
    <row r="487" spans="1:60" customFormat="1" hidden="1" outlineLevel="1" x14ac:dyDescent="0.25">
      <c r="A487" s="178"/>
      <c r="B487" s="289"/>
      <c r="C487" s="864"/>
      <c r="D487" s="864"/>
      <c r="E487" s="864"/>
      <c r="F487" s="864"/>
      <c r="G487" s="867"/>
      <c r="H487" s="867"/>
      <c r="I487" s="867"/>
      <c r="J487" s="867"/>
      <c r="K487" s="864"/>
      <c r="L487" s="867"/>
      <c r="M487" s="867"/>
      <c r="N487" s="867"/>
      <c r="O487" s="867"/>
      <c r="P487" s="864"/>
      <c r="Q487" s="867"/>
      <c r="R487" s="867"/>
      <c r="S487" s="867"/>
      <c r="T487" s="867"/>
      <c r="U487" s="864"/>
      <c r="V487" s="867"/>
      <c r="W487" s="867"/>
      <c r="X487" s="867"/>
      <c r="Y487" s="867"/>
      <c r="Z487" s="864"/>
      <c r="AA487" s="867"/>
      <c r="AB487" s="867"/>
      <c r="AC487" s="867"/>
      <c r="AD487" s="867"/>
      <c r="AE487" s="864"/>
      <c r="AF487" s="867"/>
      <c r="AG487" s="867"/>
      <c r="AH487" s="867"/>
      <c r="AI487" s="867"/>
      <c r="AJ487" s="864"/>
      <c r="AK487" s="867"/>
      <c r="AL487" s="867"/>
      <c r="AM487" s="867"/>
      <c r="AN487" s="867"/>
      <c r="AO487" s="864"/>
      <c r="AP487" s="867"/>
      <c r="AQ487" s="867"/>
      <c r="AR487" s="867"/>
      <c r="AS487" s="867"/>
      <c r="AT487" s="864"/>
      <c r="AU487" s="867"/>
      <c r="AV487" s="867"/>
      <c r="AW487" s="868"/>
      <c r="AX487" s="867"/>
      <c r="AY487" s="864"/>
      <c r="AZ487" s="867"/>
      <c r="BA487" s="867"/>
      <c r="BB487" s="867"/>
      <c r="BC487" s="867"/>
      <c r="BD487" s="864"/>
      <c r="BE487" s="864"/>
      <c r="BF487" s="864"/>
      <c r="BG487" s="864"/>
      <c r="BH487" s="821"/>
    </row>
    <row r="488" spans="1:60" customFormat="1" hidden="1" outlineLevel="1" x14ac:dyDescent="0.25">
      <c r="A488" s="62" t="s">
        <v>130</v>
      </c>
      <c r="B488" s="423"/>
      <c r="C488" s="874"/>
      <c r="D488" s="874"/>
      <c r="E488" s="874"/>
      <c r="F488" s="874"/>
      <c r="G488" s="879"/>
      <c r="H488" s="879"/>
      <c r="I488" s="879"/>
      <c r="J488" s="879"/>
      <c r="K488" s="874"/>
      <c r="L488" s="879"/>
      <c r="M488" s="879"/>
      <c r="N488" s="879"/>
      <c r="O488" s="879"/>
      <c r="P488" s="874"/>
      <c r="Q488" s="879"/>
      <c r="R488" s="879"/>
      <c r="S488" s="879"/>
      <c r="T488" s="879"/>
      <c r="U488" s="874"/>
      <c r="V488" s="879"/>
      <c r="W488" s="879"/>
      <c r="X488" s="879"/>
      <c r="Y488" s="879"/>
      <c r="Z488" s="874"/>
      <c r="AA488" s="879"/>
      <c r="AB488" s="879"/>
      <c r="AC488" s="879"/>
      <c r="AD488" s="879"/>
      <c r="AE488" s="874"/>
      <c r="AF488" s="879"/>
      <c r="AG488" s="879"/>
      <c r="AH488" s="879"/>
      <c r="AI488" s="879"/>
      <c r="AJ488" s="874"/>
      <c r="AK488" s="879"/>
      <c r="AL488" s="879"/>
      <c r="AM488" s="879"/>
      <c r="AN488" s="879"/>
      <c r="AO488" s="874"/>
      <c r="AP488" s="879"/>
      <c r="AQ488" s="879"/>
      <c r="AR488" s="879"/>
      <c r="AS488" s="879"/>
      <c r="AT488" s="874"/>
      <c r="AU488" s="879"/>
      <c r="AV488" s="879"/>
      <c r="AW488" s="880"/>
      <c r="AX488" s="879"/>
      <c r="AY488" s="874"/>
      <c r="AZ488" s="879"/>
      <c r="BA488" s="879"/>
      <c r="BB488" s="879"/>
      <c r="BC488" s="879"/>
      <c r="BD488" s="874"/>
      <c r="BE488" s="874"/>
      <c r="BF488" s="874"/>
      <c r="BG488" s="874"/>
      <c r="BH488" s="824"/>
    </row>
    <row r="489" spans="1:60" customFormat="1" hidden="1" outlineLevel="1" x14ac:dyDescent="0.25">
      <c r="A489" s="76" t="s">
        <v>131</v>
      </c>
      <c r="B489" s="289"/>
      <c r="C489" s="865">
        <f t="shared" ref="C489:AH489" si="439">C704</f>
        <v>0</v>
      </c>
      <c r="D489" s="865">
        <f t="shared" si="439"/>
        <v>0</v>
      </c>
      <c r="E489" s="865">
        <f t="shared" si="439"/>
        <v>0</v>
      </c>
      <c r="F489" s="865">
        <f t="shared" si="439"/>
        <v>0</v>
      </c>
      <c r="G489" s="866">
        <f t="shared" si="439"/>
        <v>0</v>
      </c>
      <c r="H489" s="866">
        <f t="shared" si="439"/>
        <v>0</v>
      </c>
      <c r="I489" s="866">
        <f t="shared" si="439"/>
        <v>0</v>
      </c>
      <c r="J489" s="866">
        <f t="shared" si="439"/>
        <v>0</v>
      </c>
      <c r="K489" s="865">
        <f t="shared" si="439"/>
        <v>0</v>
      </c>
      <c r="L489" s="866">
        <f t="shared" si="439"/>
        <v>0</v>
      </c>
      <c r="M489" s="866">
        <f t="shared" si="439"/>
        <v>0</v>
      </c>
      <c r="N489" s="866">
        <f t="shared" si="439"/>
        <v>0</v>
      </c>
      <c r="O489" s="866">
        <f t="shared" si="439"/>
        <v>0</v>
      </c>
      <c r="P489" s="865">
        <f t="shared" si="439"/>
        <v>0</v>
      </c>
      <c r="Q489" s="866">
        <f t="shared" si="439"/>
        <v>0</v>
      </c>
      <c r="R489" s="866">
        <f t="shared" si="439"/>
        <v>0</v>
      </c>
      <c r="S489" s="866">
        <f t="shared" si="439"/>
        <v>0</v>
      </c>
      <c r="T489" s="866">
        <f t="shared" si="439"/>
        <v>0</v>
      </c>
      <c r="U489" s="865">
        <f t="shared" si="439"/>
        <v>0</v>
      </c>
      <c r="V489" s="866">
        <f t="shared" si="439"/>
        <v>0</v>
      </c>
      <c r="W489" s="866">
        <f t="shared" si="439"/>
        <v>0</v>
      </c>
      <c r="X489" s="866">
        <f t="shared" si="439"/>
        <v>0</v>
      </c>
      <c r="Y489" s="866">
        <f t="shared" si="439"/>
        <v>0</v>
      </c>
      <c r="Z489" s="864">
        <f t="shared" si="439"/>
        <v>0</v>
      </c>
      <c r="AA489" s="866">
        <f t="shared" si="439"/>
        <v>0</v>
      </c>
      <c r="AB489" s="866">
        <f t="shared" si="439"/>
        <v>0</v>
      </c>
      <c r="AC489" s="866">
        <f t="shared" si="439"/>
        <v>0</v>
      </c>
      <c r="AD489" s="866">
        <f t="shared" si="439"/>
        <v>0</v>
      </c>
      <c r="AE489" s="864">
        <f t="shared" si="439"/>
        <v>0</v>
      </c>
      <c r="AF489" s="866">
        <f t="shared" si="439"/>
        <v>0</v>
      </c>
      <c r="AG489" s="866">
        <f t="shared" si="439"/>
        <v>0</v>
      </c>
      <c r="AH489" s="866">
        <f t="shared" si="439"/>
        <v>0</v>
      </c>
      <c r="AI489" s="866">
        <f t="shared" ref="AI489:AY489" si="440">AI704</f>
        <v>0</v>
      </c>
      <c r="AJ489" s="864">
        <f t="shared" si="440"/>
        <v>0</v>
      </c>
      <c r="AK489" s="866">
        <f t="shared" si="440"/>
        <v>0</v>
      </c>
      <c r="AL489" s="866">
        <f t="shared" si="440"/>
        <v>0</v>
      </c>
      <c r="AM489" s="866">
        <f t="shared" si="440"/>
        <v>0</v>
      </c>
      <c r="AN489" s="866">
        <f t="shared" si="440"/>
        <v>0</v>
      </c>
      <c r="AO489" s="864">
        <f t="shared" si="440"/>
        <v>0</v>
      </c>
      <c r="AP489" s="866">
        <f t="shared" si="440"/>
        <v>0</v>
      </c>
      <c r="AQ489" s="866">
        <f t="shared" si="440"/>
        <v>0</v>
      </c>
      <c r="AR489" s="866">
        <f>AR704</f>
        <v>0</v>
      </c>
      <c r="AS489" s="866">
        <f>AS704</f>
        <v>0</v>
      </c>
      <c r="AT489" s="864">
        <f>AT704</f>
        <v>0</v>
      </c>
      <c r="AU489" s="866">
        <f t="shared" ref="AU489" si="441">AU704</f>
        <v>0</v>
      </c>
      <c r="AV489" s="866">
        <f>AV704</f>
        <v>0</v>
      </c>
      <c r="AW489" s="878">
        <f>AW704</f>
        <v>0</v>
      </c>
      <c r="AX489" s="866">
        <f t="shared" si="440"/>
        <v>0</v>
      </c>
      <c r="AY489" s="864">
        <f t="shared" si="440"/>
        <v>0</v>
      </c>
      <c r="AZ489" s="866">
        <f t="shared" ref="AZ489:BG489" si="442">AZ704</f>
        <v>0</v>
      </c>
      <c r="BA489" s="866">
        <f t="shared" si="442"/>
        <v>0</v>
      </c>
      <c r="BB489" s="866">
        <f t="shared" si="442"/>
        <v>0</v>
      </c>
      <c r="BC489" s="866">
        <f t="shared" si="442"/>
        <v>0</v>
      </c>
      <c r="BD489" s="864">
        <f t="shared" si="442"/>
        <v>0</v>
      </c>
      <c r="BE489" s="864">
        <f t="shared" si="442"/>
        <v>0</v>
      </c>
      <c r="BF489" s="864">
        <f t="shared" si="442"/>
        <v>0</v>
      </c>
      <c r="BG489" s="864">
        <f t="shared" si="442"/>
        <v>0</v>
      </c>
      <c r="BH489" s="821"/>
    </row>
    <row r="490" spans="1:60" customFormat="1" hidden="1" outlineLevel="1" x14ac:dyDescent="0.25">
      <c r="A490" s="76" t="s">
        <v>132</v>
      </c>
      <c r="B490" s="289"/>
      <c r="C490" s="864"/>
      <c r="D490" s="864"/>
      <c r="E490" s="864"/>
      <c r="F490" s="864"/>
      <c r="G490" s="867"/>
      <c r="H490" s="867"/>
      <c r="I490" s="867"/>
      <c r="J490" s="867"/>
      <c r="K490" s="864"/>
      <c r="L490" s="867"/>
      <c r="M490" s="867"/>
      <c r="N490" s="867"/>
      <c r="O490" s="867"/>
      <c r="P490" s="864"/>
      <c r="Q490" s="867"/>
      <c r="R490" s="867"/>
      <c r="S490" s="867"/>
      <c r="T490" s="867"/>
      <c r="U490" s="864"/>
      <c r="V490" s="867"/>
      <c r="W490" s="867"/>
      <c r="X490" s="867"/>
      <c r="Y490" s="867"/>
      <c r="Z490" s="864"/>
      <c r="AA490" s="867"/>
      <c r="AB490" s="867"/>
      <c r="AC490" s="867"/>
      <c r="AD490" s="867"/>
      <c r="AE490" s="864"/>
      <c r="AF490" s="867"/>
      <c r="AG490" s="867"/>
      <c r="AH490" s="867"/>
      <c r="AI490" s="867"/>
      <c r="AJ490" s="864"/>
      <c r="AK490" s="867"/>
      <c r="AL490" s="867"/>
      <c r="AM490" s="867"/>
      <c r="AN490" s="867"/>
      <c r="AO490" s="864"/>
      <c r="AP490" s="867"/>
      <c r="AQ490" s="867"/>
      <c r="AR490" s="867"/>
      <c r="AS490" s="867"/>
      <c r="AT490" s="864"/>
      <c r="AU490" s="867"/>
      <c r="AV490" s="867"/>
      <c r="AW490" s="868"/>
      <c r="AX490" s="867"/>
      <c r="AY490" s="864"/>
      <c r="AZ490" s="867"/>
      <c r="BA490" s="867"/>
      <c r="BB490" s="867"/>
      <c r="BC490" s="867"/>
      <c r="BD490" s="864"/>
      <c r="BE490" s="864"/>
      <c r="BF490" s="864"/>
      <c r="BG490" s="864"/>
      <c r="BH490" s="821"/>
    </row>
    <row r="491" spans="1:60" customFormat="1" hidden="1" outlineLevel="1" x14ac:dyDescent="0.25">
      <c r="A491" s="76" t="s">
        <v>133</v>
      </c>
      <c r="B491" s="289"/>
      <c r="C491" s="864"/>
      <c r="D491" s="864"/>
      <c r="E491" s="864"/>
      <c r="F491" s="864"/>
      <c r="G491" s="867"/>
      <c r="H491" s="867"/>
      <c r="I491" s="867"/>
      <c r="J491" s="867"/>
      <c r="K491" s="864"/>
      <c r="L491" s="867"/>
      <c r="M491" s="867"/>
      <c r="N491" s="867"/>
      <c r="O491" s="867"/>
      <c r="P491" s="864"/>
      <c r="Q491" s="867"/>
      <c r="R491" s="867"/>
      <c r="S491" s="867"/>
      <c r="T491" s="867"/>
      <c r="U491" s="864"/>
      <c r="V491" s="867"/>
      <c r="W491" s="867"/>
      <c r="X491" s="867"/>
      <c r="Y491" s="867"/>
      <c r="Z491" s="864"/>
      <c r="AA491" s="867"/>
      <c r="AB491" s="867"/>
      <c r="AC491" s="867"/>
      <c r="AD491" s="867"/>
      <c r="AE491" s="864"/>
      <c r="AF491" s="867"/>
      <c r="AG491" s="867"/>
      <c r="AH491" s="867"/>
      <c r="AI491" s="867"/>
      <c r="AJ491" s="864"/>
      <c r="AK491" s="867"/>
      <c r="AL491" s="867"/>
      <c r="AM491" s="867"/>
      <c r="AN491" s="867"/>
      <c r="AO491" s="864"/>
      <c r="AP491" s="867"/>
      <c r="AQ491" s="867"/>
      <c r="AR491" s="867"/>
      <c r="AS491" s="867"/>
      <c r="AT491" s="864"/>
      <c r="AU491" s="867"/>
      <c r="AV491" s="867"/>
      <c r="AW491" s="868"/>
      <c r="AX491" s="867"/>
      <c r="AY491" s="864"/>
      <c r="AZ491" s="867"/>
      <c r="BA491" s="867"/>
      <c r="BB491" s="867"/>
      <c r="BC491" s="867"/>
      <c r="BD491" s="864"/>
      <c r="BE491" s="864"/>
      <c r="BF491" s="864"/>
      <c r="BG491" s="864"/>
      <c r="BH491" s="821"/>
    </row>
    <row r="492" spans="1:60" customFormat="1" collapsed="1" x14ac:dyDescent="0.25">
      <c r="A492" s="418"/>
      <c r="B492" s="289"/>
      <c r="C492" s="864"/>
      <c r="D492" s="864"/>
      <c r="E492" s="864"/>
      <c r="F492" s="864"/>
      <c r="G492" s="867"/>
      <c r="H492" s="867"/>
      <c r="I492" s="867"/>
      <c r="J492" s="867"/>
      <c r="K492" s="864"/>
      <c r="L492" s="867"/>
      <c r="M492" s="867"/>
      <c r="N492" s="867"/>
      <c r="O492" s="867"/>
      <c r="P492" s="864"/>
      <c r="Q492" s="867"/>
      <c r="R492" s="867"/>
      <c r="S492" s="867"/>
      <c r="T492" s="867"/>
      <c r="U492" s="864"/>
      <c r="V492" s="867"/>
      <c r="W492" s="867"/>
      <c r="X492" s="867"/>
      <c r="Y492" s="867"/>
      <c r="Z492" s="864"/>
      <c r="AA492" s="867"/>
      <c r="AB492" s="867"/>
      <c r="AC492" s="867"/>
      <c r="AD492" s="867"/>
      <c r="AE492" s="864"/>
      <c r="AF492" s="867"/>
      <c r="AG492" s="867"/>
      <c r="AH492" s="867"/>
      <c r="AI492" s="867"/>
      <c r="AJ492" s="864"/>
      <c r="AK492" s="867"/>
      <c r="AL492" s="867"/>
      <c r="AM492" s="867"/>
      <c r="AN492" s="867"/>
      <c r="AO492" s="864"/>
      <c r="AP492" s="867"/>
      <c r="AQ492" s="867"/>
      <c r="AR492" s="867"/>
      <c r="AS492" s="867"/>
      <c r="AT492" s="864"/>
      <c r="AU492" s="867"/>
      <c r="AV492" s="867"/>
      <c r="AW492" s="868"/>
      <c r="AX492" s="867"/>
      <c r="AY492" s="864"/>
      <c r="AZ492" s="867"/>
      <c r="BA492" s="867"/>
      <c r="BB492" s="867"/>
      <c r="BC492" s="867"/>
      <c r="BD492" s="864"/>
      <c r="BE492" s="864"/>
      <c r="BF492" s="864"/>
      <c r="BG492" s="864"/>
      <c r="BH492" s="821"/>
    </row>
    <row r="493" spans="1:60" customFormat="1" x14ac:dyDescent="0.25">
      <c r="A493" s="819" t="s">
        <v>134</v>
      </c>
      <c r="B493" s="819"/>
      <c r="C493" s="861"/>
      <c r="D493" s="861"/>
      <c r="E493" s="861"/>
      <c r="F493" s="861"/>
      <c r="G493" s="861"/>
      <c r="H493" s="861"/>
      <c r="I493" s="861"/>
      <c r="J493" s="861"/>
      <c r="K493" s="861"/>
      <c r="L493" s="861"/>
      <c r="M493" s="861"/>
      <c r="N493" s="861"/>
      <c r="O493" s="861"/>
      <c r="P493" s="861"/>
      <c r="Q493" s="861"/>
      <c r="R493" s="861"/>
      <c r="S493" s="861"/>
      <c r="T493" s="861"/>
      <c r="U493" s="861"/>
      <c r="V493" s="861"/>
      <c r="W493" s="861"/>
      <c r="X493" s="861"/>
      <c r="Y493" s="861"/>
      <c r="Z493" s="861"/>
      <c r="AA493" s="861"/>
      <c r="AB493" s="861"/>
      <c r="AC493" s="861"/>
      <c r="AD493" s="861"/>
      <c r="AE493" s="861"/>
      <c r="AF493" s="861"/>
      <c r="AG493" s="861"/>
      <c r="AH493" s="861"/>
      <c r="AI493" s="861"/>
      <c r="AJ493" s="861"/>
      <c r="AK493" s="861"/>
      <c r="AL493" s="861"/>
      <c r="AM493" s="861"/>
      <c r="AN493" s="861"/>
      <c r="AO493" s="861"/>
      <c r="AP493" s="861"/>
      <c r="AQ493" s="861"/>
      <c r="AR493" s="861"/>
      <c r="AS493" s="861"/>
      <c r="AT493" s="861"/>
      <c r="AU493" s="861"/>
      <c r="AV493" s="861"/>
      <c r="AW493" s="862"/>
      <c r="AX493" s="861"/>
      <c r="AY493" s="861"/>
      <c r="AZ493" s="861"/>
      <c r="BA493" s="861"/>
      <c r="BB493" s="861"/>
      <c r="BC493" s="861"/>
      <c r="BD493" s="861"/>
      <c r="BE493" s="861"/>
      <c r="BF493" s="861"/>
      <c r="BG493" s="861"/>
      <c r="BH493" s="824"/>
    </row>
    <row r="494" spans="1:60" customFormat="1" hidden="1" outlineLevel="1" x14ac:dyDescent="0.25">
      <c r="A494" s="63" t="s">
        <v>135</v>
      </c>
      <c r="B494" s="423"/>
      <c r="C494" s="874"/>
      <c r="D494" s="874"/>
      <c r="E494" s="874"/>
      <c r="F494" s="874"/>
      <c r="G494" s="879"/>
      <c r="H494" s="879"/>
      <c r="I494" s="879"/>
      <c r="J494" s="879"/>
      <c r="K494" s="874"/>
      <c r="L494" s="879"/>
      <c r="M494" s="879"/>
      <c r="N494" s="879"/>
      <c r="O494" s="879"/>
      <c r="P494" s="874"/>
      <c r="Q494" s="879"/>
      <c r="R494" s="879"/>
      <c r="S494" s="879"/>
      <c r="T494" s="879"/>
      <c r="U494" s="874"/>
      <c r="V494" s="879"/>
      <c r="W494" s="879"/>
      <c r="X494" s="879"/>
      <c r="Y494" s="879"/>
      <c r="Z494" s="874"/>
      <c r="AA494" s="879"/>
      <c r="AB494" s="879"/>
      <c r="AC494" s="879"/>
      <c r="AD494" s="879"/>
      <c r="AE494" s="874"/>
      <c r="AF494" s="879"/>
      <c r="AG494" s="879"/>
      <c r="AH494" s="879"/>
      <c r="AI494" s="879"/>
      <c r="AJ494" s="874"/>
      <c r="AK494" s="879"/>
      <c r="AL494" s="879"/>
      <c r="AM494" s="879"/>
      <c r="AN494" s="879"/>
      <c r="AO494" s="874"/>
      <c r="AP494" s="879"/>
      <c r="AQ494" s="879"/>
      <c r="AR494" s="879"/>
      <c r="AS494" s="879"/>
      <c r="AT494" s="874"/>
      <c r="AU494" s="879"/>
      <c r="AV494" s="879"/>
      <c r="AW494" s="880"/>
      <c r="AX494" s="879"/>
      <c r="AY494" s="874"/>
      <c r="AZ494" s="879"/>
      <c r="BA494" s="879"/>
      <c r="BB494" s="879"/>
      <c r="BC494" s="879"/>
      <c r="BD494" s="874"/>
      <c r="BE494" s="874"/>
      <c r="BF494" s="874"/>
      <c r="BG494" s="874"/>
      <c r="BH494" s="824"/>
    </row>
    <row r="495" spans="1:60" customFormat="1" hidden="1" outlineLevel="1" x14ac:dyDescent="0.25">
      <c r="A495" s="367" t="s">
        <v>65</v>
      </c>
      <c r="B495" s="289"/>
      <c r="C495" s="865">
        <v>115.86</v>
      </c>
      <c r="D495" s="865">
        <v>160.85300000000001</v>
      </c>
      <c r="E495" s="865">
        <v>226.126</v>
      </c>
      <c r="F495" s="865">
        <v>17.152000000000001</v>
      </c>
      <c r="G495" s="866">
        <v>2.6890000000000001</v>
      </c>
      <c r="H495" s="866">
        <v>32.159999999999997</v>
      </c>
      <c r="I495" s="866">
        <v>63.981999999999999</v>
      </c>
      <c r="J495" s="866">
        <v>112.40300000000001</v>
      </c>
      <c r="K495" s="865">
        <v>112.40300000000001</v>
      </c>
      <c r="L495" s="866">
        <v>53.115000000000002</v>
      </c>
      <c r="M495" s="866">
        <v>124.133</v>
      </c>
      <c r="N495" s="866">
        <v>183.428</v>
      </c>
      <c r="O495" s="866">
        <v>266.79899999999998</v>
      </c>
      <c r="P495" s="865">
        <v>266.79899999999998</v>
      </c>
      <c r="Q495" s="866">
        <v>23.696000000000002</v>
      </c>
      <c r="R495" s="866">
        <v>50.030999999999999</v>
      </c>
      <c r="S495" s="866">
        <v>79.462999999999994</v>
      </c>
      <c r="T495" s="866">
        <v>122.64100000000001</v>
      </c>
      <c r="U495" s="865">
        <v>122.64100000000001</v>
      </c>
      <c r="V495" s="866">
        <v>27.658000000000001</v>
      </c>
      <c r="W495" s="866">
        <v>68.412999999999997</v>
      </c>
      <c r="X495" s="866">
        <v>119.93</v>
      </c>
      <c r="Y495" s="867">
        <f t="shared" ref="Y495:Y504" si="443">Z495</f>
        <v>186.678</v>
      </c>
      <c r="Z495" s="865">
        <v>186.678</v>
      </c>
      <c r="AA495" s="866">
        <v>178.22200000000001</v>
      </c>
      <c r="AB495" s="866">
        <v>243.822</v>
      </c>
      <c r="AC495" s="866">
        <v>373.41199999999998</v>
      </c>
      <c r="AD495" s="867">
        <f t="shared" ref="AD495:AD507" si="444">AE495</f>
        <v>558.92899999999997</v>
      </c>
      <c r="AE495" s="865">
        <v>558.92899999999997</v>
      </c>
      <c r="AF495" s="866">
        <v>290.12400000000002</v>
      </c>
      <c r="AG495" s="866">
        <v>674.47299999999996</v>
      </c>
      <c r="AH495" s="866">
        <v>1077.308</v>
      </c>
      <c r="AI495" s="867">
        <f t="shared" ref="AI495:AI507" si="445">AJ495</f>
        <v>1211.242</v>
      </c>
      <c r="AJ495" s="865">
        <v>1211.242</v>
      </c>
      <c r="AK495" s="866">
        <v>344.05200000000002</v>
      </c>
      <c r="AL495" s="866">
        <v>614.702</v>
      </c>
      <c r="AM495" s="866">
        <v>1279.9459999999999</v>
      </c>
      <c r="AN495" s="867">
        <f t="shared" ref="AN495:AN507" si="446">AO495</f>
        <v>1866.9159999999999</v>
      </c>
      <c r="AO495" s="865">
        <v>1866.9159999999999</v>
      </c>
      <c r="AP495" s="866">
        <v>709.06700000000001</v>
      </c>
      <c r="AQ495" s="866">
        <v>1429.2629999999999</v>
      </c>
      <c r="AR495" s="866">
        <v>2219.239</v>
      </c>
      <c r="AS495" s="867">
        <f t="shared" ref="AS495:AS507" si="447">AT495</f>
        <v>2761.395</v>
      </c>
      <c r="AT495" s="865">
        <v>2761.395</v>
      </c>
      <c r="AU495" s="866">
        <v>1706.7149999999999</v>
      </c>
      <c r="AV495" s="866">
        <v>3059.7280000000001</v>
      </c>
      <c r="AW495" s="878">
        <v>4508.799</v>
      </c>
      <c r="AX495" s="867">
        <f t="shared" ref="AX495:AX507" si="448">AY495</f>
        <v>0</v>
      </c>
      <c r="AY495" s="864"/>
      <c r="AZ495" s="867"/>
      <c r="BA495" s="867"/>
      <c r="BB495" s="867"/>
      <c r="BC495" s="867">
        <f t="shared" ref="BC495:BC507" si="449">BD495</f>
        <v>0</v>
      </c>
      <c r="BD495" s="864"/>
      <c r="BE495" s="864"/>
      <c r="BF495" s="864"/>
      <c r="BG495" s="864"/>
      <c r="BH495" s="821"/>
    </row>
    <row r="496" spans="1:60" customFormat="1" hidden="1" outlineLevel="1" x14ac:dyDescent="0.25">
      <c r="A496" s="367" t="s">
        <v>136</v>
      </c>
      <c r="B496" s="289"/>
      <c r="C496" s="865">
        <v>-64.216999999999999</v>
      </c>
      <c r="D496" s="865">
        <v>-406.21</v>
      </c>
      <c r="E496" s="865">
        <v>-2320.732</v>
      </c>
      <c r="F496" s="865">
        <v>-2515.5059999999999</v>
      </c>
      <c r="G496" s="866">
        <v>-591.94100000000003</v>
      </c>
      <c r="H496" s="866">
        <v>-1185.395</v>
      </c>
      <c r="I496" s="866">
        <v>-2063.7089999999998</v>
      </c>
      <c r="J496" s="866">
        <v>-3049.7579999999998</v>
      </c>
      <c r="K496" s="865">
        <v>-3049.7579999999998</v>
      </c>
      <c r="L496" s="866">
        <v>-749.399</v>
      </c>
      <c r="M496" s="866">
        <v>-1562.713</v>
      </c>
      <c r="N496" s="866">
        <v>-2765.1970000000001</v>
      </c>
      <c r="O496" s="866">
        <v>-3773.4589999999998</v>
      </c>
      <c r="P496" s="865">
        <v>-3773.4589999999998</v>
      </c>
      <c r="Q496" s="866">
        <v>-1611.925</v>
      </c>
      <c r="R496" s="866">
        <v>-2885.6019999999999</v>
      </c>
      <c r="S496" s="866">
        <v>-4194.5450000000001</v>
      </c>
      <c r="T496" s="866">
        <v>-5771.652</v>
      </c>
      <c r="U496" s="865">
        <v>-5771.652</v>
      </c>
      <c r="V496" s="866">
        <v>-2316.5990000000002</v>
      </c>
      <c r="W496" s="866">
        <v>-4108.3649999999998</v>
      </c>
      <c r="X496" s="866">
        <v>-6550.4449999999997</v>
      </c>
      <c r="Y496" s="867">
        <f t="shared" si="443"/>
        <v>-8653.2860000000001</v>
      </c>
      <c r="Z496" s="865">
        <v>-8653.2860000000001</v>
      </c>
      <c r="AA496" s="866">
        <v>-2348.6660000000002</v>
      </c>
      <c r="AB496" s="866">
        <v>-5013.0870000000004</v>
      </c>
      <c r="AC496" s="866">
        <v>-7328.1040000000003</v>
      </c>
      <c r="AD496" s="867">
        <f t="shared" si="444"/>
        <v>-9805.7630000000008</v>
      </c>
      <c r="AE496" s="865">
        <v>-9805.7630000000008</v>
      </c>
      <c r="AF496" s="866">
        <v>-2986.7469999999998</v>
      </c>
      <c r="AG496" s="866">
        <v>-6020.4679999999998</v>
      </c>
      <c r="AH496" s="866">
        <v>-9259.1849999999995</v>
      </c>
      <c r="AI496" s="867">
        <f t="shared" si="445"/>
        <v>-13043.437</v>
      </c>
      <c r="AJ496" s="865">
        <v>-13043.437</v>
      </c>
      <c r="AK496" s="866">
        <v>-2997.7460000000001</v>
      </c>
      <c r="AL496" s="866">
        <v>-6322.8490000000002</v>
      </c>
      <c r="AM496" s="866">
        <v>-9971.1409999999996</v>
      </c>
      <c r="AN496" s="867">
        <f t="shared" si="446"/>
        <v>-13916.683000000001</v>
      </c>
      <c r="AO496" s="865">
        <v>-13916.683000000001</v>
      </c>
      <c r="AP496" s="866">
        <v>-3294.2750000000001</v>
      </c>
      <c r="AQ496" s="866">
        <v>-5805.0569999999998</v>
      </c>
      <c r="AR496" s="866">
        <v>-8458.9429999999993</v>
      </c>
      <c r="AS496" s="867">
        <f t="shared" si="447"/>
        <v>-11779.284</v>
      </c>
      <c r="AT496" s="865">
        <v>-11779.284</v>
      </c>
      <c r="AU496" s="866">
        <v>-3284.576</v>
      </c>
      <c r="AV496" s="866">
        <v>-7381.326</v>
      </c>
      <c r="AW496" s="878">
        <v>-12047.563</v>
      </c>
      <c r="AX496" s="867">
        <f t="shared" si="448"/>
        <v>0</v>
      </c>
      <c r="AY496" s="864"/>
      <c r="AZ496" s="867"/>
      <c r="BA496" s="867"/>
      <c r="BB496" s="867"/>
      <c r="BC496" s="867">
        <f t="shared" si="449"/>
        <v>0</v>
      </c>
      <c r="BD496" s="864"/>
      <c r="BE496" s="864"/>
      <c r="BF496" s="864"/>
      <c r="BG496" s="864"/>
      <c r="BH496" s="821"/>
    </row>
    <row r="497" spans="1:60" customFormat="1" hidden="1" outlineLevel="1" x14ac:dyDescent="0.25">
      <c r="A497" s="367" t="s">
        <v>137</v>
      </c>
      <c r="B497" s="289"/>
      <c r="C497" s="865">
        <v>-4.0140000000000002</v>
      </c>
      <c r="D497" s="865">
        <v>168.23099999999999</v>
      </c>
      <c r="E497" s="865">
        <v>1463.9549999999999</v>
      </c>
      <c r="F497" s="865">
        <v>762.08900000000006</v>
      </c>
      <c r="G497" s="866">
        <v>9.6999999999999993</v>
      </c>
      <c r="H497" s="866">
        <v>16.984000000000002</v>
      </c>
      <c r="I497" s="866">
        <v>327.17500000000001</v>
      </c>
      <c r="J497" s="866">
        <v>673.78499999999997</v>
      </c>
      <c r="K497" s="865">
        <v>673.78499999999997</v>
      </c>
      <c r="L497" s="866">
        <v>42.244</v>
      </c>
      <c r="M497" s="866">
        <v>120.60299999999999</v>
      </c>
      <c r="N497" s="866">
        <v>467.35500000000002</v>
      </c>
      <c r="O497" s="866">
        <v>593.125</v>
      </c>
      <c r="P497" s="865">
        <v>593.125</v>
      </c>
      <c r="Q497" s="866">
        <v>626.32500000000005</v>
      </c>
      <c r="R497" s="866">
        <v>817.47900000000004</v>
      </c>
      <c r="S497" s="866">
        <v>922.16300000000001</v>
      </c>
      <c r="T497" s="866">
        <v>1162.413</v>
      </c>
      <c r="U497" s="865">
        <v>1162.413</v>
      </c>
      <c r="V497" s="866">
        <v>905.72299999999996</v>
      </c>
      <c r="W497" s="866">
        <v>1144.24</v>
      </c>
      <c r="X497" s="866">
        <v>1674.125</v>
      </c>
      <c r="Y497" s="867">
        <f t="shared" si="443"/>
        <v>1772.65</v>
      </c>
      <c r="Z497" s="865">
        <v>1772.65</v>
      </c>
      <c r="AA497" s="866">
        <v>366.25700000000001</v>
      </c>
      <c r="AB497" s="866">
        <v>881.14700000000005</v>
      </c>
      <c r="AC497" s="866">
        <v>846.56</v>
      </c>
      <c r="AD497" s="867">
        <f t="shared" si="444"/>
        <v>900.00599999999997</v>
      </c>
      <c r="AE497" s="865">
        <v>900.00599999999997</v>
      </c>
      <c r="AF497" s="866">
        <v>378.88499999999999</v>
      </c>
      <c r="AG497" s="866">
        <v>667.35900000000004</v>
      </c>
      <c r="AH497" s="866">
        <v>733.22699999999998</v>
      </c>
      <c r="AI497" s="867">
        <f t="shared" si="445"/>
        <v>999.88</v>
      </c>
      <c r="AJ497" s="865">
        <v>999.88</v>
      </c>
      <c r="AK497" s="866">
        <v>-14.698</v>
      </c>
      <c r="AL497" s="866">
        <v>-27.111999999999998</v>
      </c>
      <c r="AM497" s="866">
        <v>-122.66</v>
      </c>
      <c r="AN497" s="867">
        <f t="shared" si="446"/>
        <v>-694.01099999999997</v>
      </c>
      <c r="AO497" s="865">
        <v>-694.01099999999997</v>
      </c>
      <c r="AP497" s="866">
        <v>258.94499999999999</v>
      </c>
      <c r="AQ497" s="866">
        <v>150.51300000000001</v>
      </c>
      <c r="AR497" s="866">
        <v>-228.94499999999999</v>
      </c>
      <c r="AS497" s="867">
        <f t="shared" si="447"/>
        <v>-757.43299999999999</v>
      </c>
      <c r="AT497" s="865">
        <v>-757.43299999999999</v>
      </c>
      <c r="AU497" s="866">
        <v>-266.04000000000002</v>
      </c>
      <c r="AV497" s="866">
        <v>-578.24800000000005</v>
      </c>
      <c r="AW497" s="878">
        <v>-607.49400000000003</v>
      </c>
      <c r="AX497" s="867">
        <f t="shared" si="448"/>
        <v>0</v>
      </c>
      <c r="AY497" s="864"/>
      <c r="AZ497" s="867"/>
      <c r="BA497" s="867"/>
      <c r="BB497" s="867"/>
      <c r="BC497" s="867">
        <f t="shared" si="449"/>
        <v>0</v>
      </c>
      <c r="BD497" s="864"/>
      <c r="BE497" s="864"/>
      <c r="BF497" s="864"/>
      <c r="BG497" s="864"/>
      <c r="BH497" s="821"/>
    </row>
    <row r="498" spans="1:60" customFormat="1" hidden="1" outlineLevel="1" x14ac:dyDescent="0.25">
      <c r="A498" s="367" t="s">
        <v>138</v>
      </c>
      <c r="B498" s="289"/>
      <c r="C498" s="865">
        <v>48.192</v>
      </c>
      <c r="D498" s="865">
        <v>158.1</v>
      </c>
      <c r="E498" s="865">
        <v>699.12800000000004</v>
      </c>
      <c r="F498" s="865">
        <v>1591.2180000000001</v>
      </c>
      <c r="G498" s="866">
        <v>485.74</v>
      </c>
      <c r="H498" s="866">
        <v>995.99</v>
      </c>
      <c r="I498" s="866">
        <v>1549.384</v>
      </c>
      <c r="J498" s="866">
        <v>2121.9810000000002</v>
      </c>
      <c r="K498" s="865">
        <v>2121.9810000000002</v>
      </c>
      <c r="L498" s="866">
        <v>600.73500000000001</v>
      </c>
      <c r="M498" s="866">
        <v>1239.7719999999999</v>
      </c>
      <c r="N498" s="866">
        <v>1925.9259999999999</v>
      </c>
      <c r="O498" s="866">
        <v>2656.279</v>
      </c>
      <c r="P498" s="865">
        <v>2656.279</v>
      </c>
      <c r="Q498" s="866">
        <v>749.51800000000003</v>
      </c>
      <c r="R498" s="866">
        <v>1572.1179999999999</v>
      </c>
      <c r="S498" s="866">
        <v>2443.5210000000002</v>
      </c>
      <c r="T498" s="866">
        <v>3405.3820000000001</v>
      </c>
      <c r="U498" s="865">
        <v>3405.3820000000001</v>
      </c>
      <c r="V498" s="866">
        <v>1058.521</v>
      </c>
      <c r="W498" s="866">
        <v>2233.8820000000001</v>
      </c>
      <c r="X498" s="866">
        <v>3457.99</v>
      </c>
      <c r="Y498" s="867">
        <f t="shared" si="443"/>
        <v>4788.4979999999996</v>
      </c>
      <c r="Z498" s="865">
        <v>4788.4979999999996</v>
      </c>
      <c r="AA498" s="866">
        <v>1305.683</v>
      </c>
      <c r="AB498" s="866">
        <v>2856.4769999999999</v>
      </c>
      <c r="AC498" s="866">
        <v>4483.9539999999997</v>
      </c>
      <c r="AD498" s="867">
        <f t="shared" si="444"/>
        <v>6197.817</v>
      </c>
      <c r="AE498" s="865">
        <v>6197.817</v>
      </c>
      <c r="AF498" s="866">
        <v>1748.8440000000001</v>
      </c>
      <c r="AG498" s="866">
        <v>3566.6610000000001</v>
      </c>
      <c r="AH498" s="866">
        <v>5478.4279999999999</v>
      </c>
      <c r="AI498" s="867">
        <f t="shared" si="445"/>
        <v>7532.0879999999997</v>
      </c>
      <c r="AJ498" s="865">
        <v>7532.0879999999997</v>
      </c>
      <c r="AK498" s="866">
        <v>2124.6860000000001</v>
      </c>
      <c r="AL498" s="866">
        <v>4356.6009999999997</v>
      </c>
      <c r="AM498" s="866">
        <v>6636.5780000000004</v>
      </c>
      <c r="AN498" s="867">
        <f t="shared" si="446"/>
        <v>9216.2469999999994</v>
      </c>
      <c r="AO498" s="865">
        <v>9216.2469999999994</v>
      </c>
      <c r="AP498" s="866">
        <v>2483.3850000000002</v>
      </c>
      <c r="AQ498" s="866">
        <v>5090.5439999999999</v>
      </c>
      <c r="AR498" s="866">
        <v>7824.2870000000003</v>
      </c>
      <c r="AS498" s="867">
        <f t="shared" si="447"/>
        <v>10806.912</v>
      </c>
      <c r="AT498" s="865">
        <v>10806.912</v>
      </c>
      <c r="AU498" s="866">
        <v>2719.1959999999999</v>
      </c>
      <c r="AV498" s="866">
        <v>5525.9989999999998</v>
      </c>
      <c r="AW498" s="878">
        <v>8489.0499999999993</v>
      </c>
      <c r="AX498" s="867">
        <f t="shared" si="448"/>
        <v>0</v>
      </c>
      <c r="AY498" s="864"/>
      <c r="AZ498" s="867"/>
      <c r="BA498" s="867"/>
      <c r="BB498" s="867"/>
      <c r="BC498" s="867">
        <f t="shared" si="449"/>
        <v>0</v>
      </c>
      <c r="BD498" s="864"/>
      <c r="BE498" s="864"/>
      <c r="BF498" s="864"/>
      <c r="BG498" s="864"/>
      <c r="BH498" s="821"/>
    </row>
    <row r="499" spans="1:60" customFormat="1" hidden="1" outlineLevel="1" x14ac:dyDescent="0.25">
      <c r="A499" s="367" t="s">
        <v>139</v>
      </c>
      <c r="B499" s="289"/>
      <c r="C499" s="865">
        <v>171.298</v>
      </c>
      <c r="D499" s="865">
        <v>142.49600000000001</v>
      </c>
      <c r="E499" s="865">
        <v>96.744</v>
      </c>
      <c r="F499" s="865">
        <v>65.396000000000001</v>
      </c>
      <c r="G499" s="866">
        <v>18.236999999999998</v>
      </c>
      <c r="H499" s="866">
        <v>35.945999999999998</v>
      </c>
      <c r="I499" s="866">
        <v>53.491999999999997</v>
      </c>
      <c r="J499" s="866">
        <v>71.325000000000003</v>
      </c>
      <c r="K499" s="865">
        <v>71.325000000000003</v>
      </c>
      <c r="L499" s="866">
        <v>16.120999999999999</v>
      </c>
      <c r="M499" s="866">
        <v>33.043999999999997</v>
      </c>
      <c r="N499" s="866">
        <v>51.313000000000002</v>
      </c>
      <c r="O499" s="866">
        <v>71.491</v>
      </c>
      <c r="P499" s="865">
        <v>71.491</v>
      </c>
      <c r="Q499" s="866">
        <v>21.184999999999999</v>
      </c>
      <c r="R499" s="866">
        <v>41.997999999999998</v>
      </c>
      <c r="S499" s="866">
        <v>60.587000000000003</v>
      </c>
      <c r="T499" s="866">
        <v>79.38</v>
      </c>
      <c r="U499" s="865">
        <v>79.38</v>
      </c>
      <c r="V499" s="866">
        <v>20.440999999999999</v>
      </c>
      <c r="W499" s="866">
        <v>40.462000000000003</v>
      </c>
      <c r="X499" s="866">
        <v>59.746000000000002</v>
      </c>
      <c r="Y499" s="867">
        <f t="shared" si="443"/>
        <v>78.951999999999998</v>
      </c>
      <c r="Z499" s="865">
        <v>78.951999999999998</v>
      </c>
      <c r="AA499" s="866">
        <v>18.597999999999999</v>
      </c>
      <c r="AB499" s="866">
        <v>35.109000000000002</v>
      </c>
      <c r="AC499" s="866">
        <v>48.368000000000002</v>
      </c>
      <c r="AD499" s="867">
        <f t="shared" si="444"/>
        <v>60.656999999999996</v>
      </c>
      <c r="AE499" s="865">
        <v>60.656999999999996</v>
      </c>
      <c r="AF499" s="866">
        <v>11.134</v>
      </c>
      <c r="AG499" s="866">
        <v>22.288</v>
      </c>
      <c r="AH499" s="866">
        <v>32.247</v>
      </c>
      <c r="AI499" s="867">
        <f t="shared" si="445"/>
        <v>41.212000000000003</v>
      </c>
      <c r="AJ499" s="865">
        <v>41.212000000000003</v>
      </c>
      <c r="AK499" s="867"/>
      <c r="AL499" s="867"/>
      <c r="AM499" s="867"/>
      <c r="AN499" s="867">
        <f t="shared" si="446"/>
        <v>0</v>
      </c>
      <c r="AO499" s="864"/>
      <c r="AP499" s="867"/>
      <c r="AQ499" s="867"/>
      <c r="AR499" s="867"/>
      <c r="AS499" s="867">
        <f t="shared" si="447"/>
        <v>0</v>
      </c>
      <c r="AT499" s="864"/>
      <c r="AU499" s="867"/>
      <c r="AV499" s="867"/>
      <c r="AW499" s="868"/>
      <c r="AX499" s="867">
        <f t="shared" si="448"/>
        <v>0</v>
      </c>
      <c r="AY499" s="864"/>
      <c r="AZ499" s="867"/>
      <c r="BA499" s="867"/>
      <c r="BB499" s="867"/>
      <c r="BC499" s="867">
        <f t="shared" si="449"/>
        <v>0</v>
      </c>
      <c r="BD499" s="864"/>
      <c r="BE499" s="864"/>
      <c r="BF499" s="864"/>
      <c r="BG499" s="864"/>
      <c r="BH499" s="821"/>
    </row>
    <row r="500" spans="1:60" customFormat="1" hidden="1" outlineLevel="1" x14ac:dyDescent="0.25">
      <c r="A500" s="367" t="s">
        <v>140</v>
      </c>
      <c r="B500" s="289"/>
      <c r="C500" s="865">
        <v>38.043999999999997</v>
      </c>
      <c r="D500" s="865">
        <v>38.098999999999997</v>
      </c>
      <c r="E500" s="865">
        <v>43.747</v>
      </c>
      <c r="F500" s="865">
        <v>45.469000000000001</v>
      </c>
      <c r="G500" s="866">
        <v>12.051</v>
      </c>
      <c r="H500" s="866">
        <v>24.077000000000002</v>
      </c>
      <c r="I500" s="866">
        <v>35.529000000000003</v>
      </c>
      <c r="J500" s="866">
        <v>48.374000000000002</v>
      </c>
      <c r="K500" s="865">
        <v>48.374000000000002</v>
      </c>
      <c r="L500" s="866">
        <v>12.382</v>
      </c>
      <c r="M500" s="866">
        <v>25.359000000000002</v>
      </c>
      <c r="N500" s="866">
        <v>39.716000000000001</v>
      </c>
      <c r="O500" s="866">
        <v>54.027999999999999</v>
      </c>
      <c r="P500" s="865">
        <v>54.027999999999999</v>
      </c>
      <c r="Q500" s="866">
        <v>15.167</v>
      </c>
      <c r="R500" s="866">
        <v>30.748000000000001</v>
      </c>
      <c r="S500" s="866">
        <v>46.795000000000002</v>
      </c>
      <c r="T500" s="866">
        <v>62.283000000000001</v>
      </c>
      <c r="U500" s="865">
        <v>62.283000000000001</v>
      </c>
      <c r="V500" s="866">
        <v>14.798</v>
      </c>
      <c r="W500" s="866">
        <v>28.928999999999998</v>
      </c>
      <c r="X500" s="866">
        <v>43.338999999999999</v>
      </c>
      <c r="Y500" s="867">
        <f t="shared" si="443"/>
        <v>57.527999999999999</v>
      </c>
      <c r="Z500" s="865">
        <v>57.527999999999999</v>
      </c>
      <c r="AA500" s="866">
        <v>15.048999999999999</v>
      </c>
      <c r="AB500" s="866">
        <v>33.6</v>
      </c>
      <c r="AC500" s="866">
        <v>52.838000000000001</v>
      </c>
      <c r="AD500" s="867">
        <f t="shared" si="444"/>
        <v>71.911000000000001</v>
      </c>
      <c r="AE500" s="865">
        <v>71.911000000000001</v>
      </c>
      <c r="AF500" s="866">
        <v>19.041</v>
      </c>
      <c r="AG500" s="866">
        <v>38.777000000000001</v>
      </c>
      <c r="AH500" s="866">
        <v>59.938000000000002</v>
      </c>
      <c r="AI500" s="867">
        <f t="shared" si="445"/>
        <v>83.156999999999996</v>
      </c>
      <c r="AJ500" s="865">
        <v>83.156999999999996</v>
      </c>
      <c r="AK500" s="866">
        <v>23.561</v>
      </c>
      <c r="AL500" s="866">
        <v>49.057000000000002</v>
      </c>
      <c r="AM500" s="866">
        <v>75.760999999999996</v>
      </c>
      <c r="AN500" s="867">
        <f t="shared" si="446"/>
        <v>103.57899999999999</v>
      </c>
      <c r="AO500" s="865">
        <v>103.57899999999999</v>
      </c>
      <c r="AP500" s="866">
        <v>28.516999999999999</v>
      </c>
      <c r="AQ500" s="866">
        <v>55.177999999999997</v>
      </c>
      <c r="AR500" s="866">
        <v>83.766999999999996</v>
      </c>
      <c r="AS500" s="867">
        <f t="shared" si="447"/>
        <v>115.71</v>
      </c>
      <c r="AT500" s="865">
        <v>115.71</v>
      </c>
      <c r="AU500" s="866">
        <v>35.741</v>
      </c>
      <c r="AV500" s="866">
        <v>74.174999999999997</v>
      </c>
      <c r="AW500" s="878">
        <v>144.428</v>
      </c>
      <c r="AX500" s="867">
        <f t="shared" si="448"/>
        <v>0</v>
      </c>
      <c r="AY500" s="864"/>
      <c r="AZ500" s="867"/>
      <c r="BA500" s="867"/>
      <c r="BB500" s="867"/>
      <c r="BC500" s="867">
        <f t="shared" si="449"/>
        <v>0</v>
      </c>
      <c r="BD500" s="864"/>
      <c r="BE500" s="864"/>
      <c r="BF500" s="864"/>
      <c r="BG500" s="864"/>
      <c r="BH500" s="821"/>
    </row>
    <row r="501" spans="1:60" customFormat="1" hidden="1" outlineLevel="1" x14ac:dyDescent="0.25">
      <c r="A501" s="367" t="s">
        <v>141</v>
      </c>
      <c r="B501" s="289"/>
      <c r="C501" s="865">
        <v>12.618</v>
      </c>
      <c r="D501" s="865">
        <v>27.995999999999999</v>
      </c>
      <c r="E501" s="865">
        <v>61.582000000000001</v>
      </c>
      <c r="F501" s="865">
        <v>73.947999999999993</v>
      </c>
      <c r="G501" s="866">
        <v>17.745999999999999</v>
      </c>
      <c r="H501" s="866">
        <v>35.701000000000001</v>
      </c>
      <c r="I501" s="866">
        <v>54.177999999999997</v>
      </c>
      <c r="J501" s="866">
        <v>73.099999999999994</v>
      </c>
      <c r="K501" s="865">
        <v>73.099999999999994</v>
      </c>
      <c r="L501" s="866">
        <v>25.824999999999999</v>
      </c>
      <c r="M501" s="866">
        <v>55.11</v>
      </c>
      <c r="N501" s="866">
        <v>84.988</v>
      </c>
      <c r="O501" s="866">
        <v>115.239</v>
      </c>
      <c r="P501" s="865">
        <v>115.239</v>
      </c>
      <c r="Q501" s="866">
        <v>27.440999999999999</v>
      </c>
      <c r="R501" s="866">
        <v>56.030999999999999</v>
      </c>
      <c r="S501" s="866">
        <v>88.864999999999995</v>
      </c>
      <c r="T501" s="866">
        <v>124.72499999999999</v>
      </c>
      <c r="U501" s="865">
        <v>124.72499999999999</v>
      </c>
      <c r="V501" s="866">
        <v>42.421999999999997</v>
      </c>
      <c r="W501" s="866">
        <v>86.534000000000006</v>
      </c>
      <c r="X501" s="866">
        <v>130.029</v>
      </c>
      <c r="Y501" s="867">
        <f t="shared" si="443"/>
        <v>173.67500000000001</v>
      </c>
      <c r="Z501" s="865">
        <v>173.67500000000001</v>
      </c>
      <c r="AA501" s="866">
        <v>44.887999999999998</v>
      </c>
      <c r="AB501" s="866">
        <v>88.915999999999997</v>
      </c>
      <c r="AC501" s="866">
        <v>133.679</v>
      </c>
      <c r="AD501" s="867">
        <f t="shared" si="444"/>
        <v>182.209</v>
      </c>
      <c r="AE501" s="865">
        <v>182.209</v>
      </c>
      <c r="AF501" s="866">
        <v>68.394999999999996</v>
      </c>
      <c r="AG501" s="866">
        <v>149.62700000000001</v>
      </c>
      <c r="AH501" s="866">
        <v>231.94300000000001</v>
      </c>
      <c r="AI501" s="867">
        <f t="shared" si="445"/>
        <v>320.65699999999998</v>
      </c>
      <c r="AJ501" s="865">
        <v>320.65699999999998</v>
      </c>
      <c r="AK501" s="866">
        <v>101.2</v>
      </c>
      <c r="AL501" s="866">
        <v>205.048</v>
      </c>
      <c r="AM501" s="866">
        <v>305.31</v>
      </c>
      <c r="AN501" s="867">
        <f t="shared" si="446"/>
        <v>405.37599999999998</v>
      </c>
      <c r="AO501" s="865">
        <v>405.37599999999998</v>
      </c>
      <c r="AP501" s="866">
        <v>97.019000000000005</v>
      </c>
      <c r="AQ501" s="866">
        <v>201.22900000000001</v>
      </c>
      <c r="AR501" s="866">
        <v>307.58600000000001</v>
      </c>
      <c r="AS501" s="867">
        <f t="shared" si="447"/>
        <v>415.18</v>
      </c>
      <c r="AT501" s="865">
        <v>415.18</v>
      </c>
      <c r="AU501" s="866">
        <v>107.23</v>
      </c>
      <c r="AV501" s="866">
        <v>208.81299999999999</v>
      </c>
      <c r="AW501" s="878">
        <v>303.89100000000002</v>
      </c>
      <c r="AX501" s="867">
        <f t="shared" si="448"/>
        <v>0</v>
      </c>
      <c r="AY501" s="864"/>
      <c r="AZ501" s="867"/>
      <c r="BA501" s="867"/>
      <c r="BB501" s="867"/>
      <c r="BC501" s="867">
        <f t="shared" si="449"/>
        <v>0</v>
      </c>
      <c r="BD501" s="864"/>
      <c r="BE501" s="864"/>
      <c r="BF501" s="864"/>
      <c r="BG501" s="864"/>
      <c r="BH501" s="821"/>
    </row>
    <row r="502" spans="1:60" customFormat="1" hidden="1" outlineLevel="1" x14ac:dyDescent="0.25">
      <c r="A502" s="367" t="s">
        <v>142</v>
      </c>
      <c r="B502" s="289"/>
      <c r="C502" s="865">
        <v>-12.683</v>
      </c>
      <c r="D502" s="865">
        <v>-62.213999999999999</v>
      </c>
      <c r="E502" s="865">
        <v>-45.783999999999999</v>
      </c>
      <c r="F502" s="865">
        <v>-4.5430000000000001</v>
      </c>
      <c r="G502" s="866">
        <v>-11.615</v>
      </c>
      <c r="H502" s="866">
        <v>-31.983000000000001</v>
      </c>
      <c r="I502" s="866">
        <v>-52.475000000000001</v>
      </c>
      <c r="J502" s="866">
        <v>-81.662999999999997</v>
      </c>
      <c r="K502" s="865">
        <v>-81.662999999999997</v>
      </c>
      <c r="L502" s="866">
        <v>-32.731999999999999</v>
      </c>
      <c r="M502" s="866">
        <v>-47.36</v>
      </c>
      <c r="N502" s="866">
        <v>-68.42</v>
      </c>
      <c r="O502" s="866">
        <v>-89.340999999999994</v>
      </c>
      <c r="P502" s="865">
        <v>-89.340999999999994</v>
      </c>
      <c r="Q502" s="866">
        <v>-29.001000000000001</v>
      </c>
      <c r="R502" s="866">
        <v>-68.427999999999997</v>
      </c>
      <c r="S502" s="866">
        <v>-106.154</v>
      </c>
      <c r="T502" s="866">
        <v>-80.471000000000004</v>
      </c>
      <c r="U502" s="865">
        <v>-80.471000000000004</v>
      </c>
      <c r="V502" s="866">
        <v>-11.316000000000001</v>
      </c>
      <c r="W502" s="866">
        <v>-24.638999999999999</v>
      </c>
      <c r="X502" s="866">
        <v>-37.401000000000003</v>
      </c>
      <c r="Y502" s="867">
        <f t="shared" si="443"/>
        <v>-65.120999999999995</v>
      </c>
      <c r="Z502" s="865">
        <v>-65.120999999999995</v>
      </c>
      <c r="AA502" s="866">
        <v>0</v>
      </c>
      <c r="AB502" s="866">
        <v>0</v>
      </c>
      <c r="AC502" s="867"/>
      <c r="AD502" s="867">
        <f t="shared" si="444"/>
        <v>0</v>
      </c>
      <c r="AE502" s="864"/>
      <c r="AF502" s="867"/>
      <c r="AG502" s="867"/>
      <c r="AH502" s="867"/>
      <c r="AI502" s="867">
        <f t="shared" si="445"/>
        <v>0</v>
      </c>
      <c r="AJ502" s="864"/>
      <c r="AK502" s="867"/>
      <c r="AL502" s="867"/>
      <c r="AM502" s="867"/>
      <c r="AN502" s="867">
        <f t="shared" si="446"/>
        <v>0</v>
      </c>
      <c r="AO502" s="864"/>
      <c r="AP502" s="867"/>
      <c r="AQ502" s="867"/>
      <c r="AR502" s="867"/>
      <c r="AS502" s="867">
        <f t="shared" si="447"/>
        <v>0</v>
      </c>
      <c r="AT502" s="864"/>
      <c r="AU502" s="867"/>
      <c r="AV502" s="867"/>
      <c r="AW502" s="868"/>
      <c r="AX502" s="867">
        <f t="shared" si="448"/>
        <v>0</v>
      </c>
      <c r="AY502" s="864"/>
      <c r="AZ502" s="867"/>
      <c r="BA502" s="867"/>
      <c r="BB502" s="867"/>
      <c r="BC502" s="867">
        <f t="shared" si="449"/>
        <v>0</v>
      </c>
      <c r="BD502" s="864"/>
      <c r="BE502" s="864"/>
      <c r="BF502" s="864"/>
      <c r="BG502" s="864"/>
      <c r="BH502" s="821"/>
    </row>
    <row r="503" spans="1:60" customFormat="1" hidden="1" outlineLevel="1" x14ac:dyDescent="0.25">
      <c r="A503" s="367" t="s">
        <v>143</v>
      </c>
      <c r="B503" s="289"/>
      <c r="C503" s="865">
        <v>-7.1609999999999996</v>
      </c>
      <c r="D503" s="865">
        <v>-9.1280000000000001</v>
      </c>
      <c r="E503" s="865">
        <v>-4.05</v>
      </c>
      <c r="F503" s="865">
        <v>-8.3919999999999995</v>
      </c>
      <c r="G503" s="866">
        <v>1.75</v>
      </c>
      <c r="H503" s="866">
        <v>2.9380000000000002</v>
      </c>
      <c r="I503" s="866">
        <v>4.9320000000000004</v>
      </c>
      <c r="J503" s="866">
        <v>5.3319999999999999</v>
      </c>
      <c r="K503" s="865">
        <v>5.3319999999999999</v>
      </c>
      <c r="L503" s="866">
        <v>2.1960000000000002</v>
      </c>
      <c r="M503" s="866">
        <v>5.4470000000000001</v>
      </c>
      <c r="N503" s="866">
        <v>8.8070000000000004</v>
      </c>
      <c r="O503" s="866">
        <v>15.282</v>
      </c>
      <c r="P503" s="865">
        <v>15.282</v>
      </c>
      <c r="Q503" s="866">
        <v>6.306</v>
      </c>
      <c r="R503" s="866">
        <v>12.988</v>
      </c>
      <c r="S503" s="866">
        <v>23.853999999999999</v>
      </c>
      <c r="T503" s="866">
        <v>31.628</v>
      </c>
      <c r="U503" s="865">
        <v>31.628</v>
      </c>
      <c r="V503" s="866">
        <v>12.757</v>
      </c>
      <c r="W503" s="866">
        <v>21.797000000000001</v>
      </c>
      <c r="X503" s="866">
        <v>31.478999999999999</v>
      </c>
      <c r="Y503" s="867">
        <f t="shared" si="443"/>
        <v>40.908999999999999</v>
      </c>
      <c r="Z503" s="865">
        <v>40.908999999999999</v>
      </c>
      <c r="AA503" s="866">
        <v>21.666</v>
      </c>
      <c r="AB503" s="866">
        <v>33.185000000000002</v>
      </c>
      <c r="AC503" s="866">
        <v>43.081000000000003</v>
      </c>
      <c r="AD503" s="867">
        <f t="shared" si="444"/>
        <v>57.207000000000001</v>
      </c>
      <c r="AE503" s="865">
        <v>57.207000000000001</v>
      </c>
      <c r="AF503" s="866">
        <v>8.2089999999999996</v>
      </c>
      <c r="AG503" s="866">
        <v>22.13</v>
      </c>
      <c r="AH503" s="866">
        <v>31.091999999999999</v>
      </c>
      <c r="AI503" s="867">
        <f t="shared" si="445"/>
        <v>40.427999999999997</v>
      </c>
      <c r="AJ503" s="865">
        <v>40.427999999999997</v>
      </c>
      <c r="AK503" s="866">
        <v>45.707999999999998</v>
      </c>
      <c r="AL503" s="866">
        <v>106.40300000000001</v>
      </c>
      <c r="AM503" s="866">
        <v>164.33699999999999</v>
      </c>
      <c r="AN503" s="867">
        <f t="shared" si="446"/>
        <v>228.23</v>
      </c>
      <c r="AO503" s="865">
        <v>228.23</v>
      </c>
      <c r="AP503" s="866">
        <v>65.447999999999993</v>
      </c>
      <c r="AQ503" s="866">
        <v>135.749</v>
      </c>
      <c r="AR503" s="866">
        <v>219.6</v>
      </c>
      <c r="AS503" s="867">
        <f t="shared" si="447"/>
        <v>293.12599999999998</v>
      </c>
      <c r="AT503" s="865">
        <v>293.12599999999998</v>
      </c>
      <c r="AU503" s="866">
        <v>72.656999999999996</v>
      </c>
      <c r="AV503" s="866">
        <v>180.76</v>
      </c>
      <c r="AW503" s="878">
        <v>282.971</v>
      </c>
      <c r="AX503" s="867">
        <f t="shared" si="448"/>
        <v>0</v>
      </c>
      <c r="AY503" s="864"/>
      <c r="AZ503" s="867"/>
      <c r="BA503" s="867"/>
      <c r="BB503" s="867"/>
      <c r="BC503" s="867">
        <f t="shared" si="449"/>
        <v>0</v>
      </c>
      <c r="BD503" s="864"/>
      <c r="BE503" s="864"/>
      <c r="BF503" s="864"/>
      <c r="BG503" s="864"/>
      <c r="BH503" s="821"/>
    </row>
    <row r="504" spans="1:60" customFormat="1" hidden="1" outlineLevel="1" x14ac:dyDescent="0.25">
      <c r="A504" s="367" t="s">
        <v>62</v>
      </c>
      <c r="B504" s="289"/>
      <c r="C504" s="865">
        <v>0</v>
      </c>
      <c r="D504" s="865">
        <v>0</v>
      </c>
      <c r="E504" s="865">
        <v>0</v>
      </c>
      <c r="F504" s="865">
        <v>0</v>
      </c>
      <c r="G504" s="866">
        <v>25.129000000000001</v>
      </c>
      <c r="H504" s="866">
        <v>25.129000000000001</v>
      </c>
      <c r="I504" s="866">
        <v>25.129000000000001</v>
      </c>
      <c r="J504" s="866">
        <v>25.129000000000001</v>
      </c>
      <c r="K504" s="865">
        <v>25.129000000000001</v>
      </c>
      <c r="L504" s="866">
        <v>0</v>
      </c>
      <c r="M504" s="866">
        <v>0</v>
      </c>
      <c r="N504" s="866">
        <v>0</v>
      </c>
      <c r="O504" s="866">
        <v>0</v>
      </c>
      <c r="P504" s="865">
        <v>0</v>
      </c>
      <c r="Q504" s="866">
        <v>0</v>
      </c>
      <c r="R504" s="866">
        <v>0</v>
      </c>
      <c r="S504" s="866">
        <v>0</v>
      </c>
      <c r="T504" s="866">
        <v>0</v>
      </c>
      <c r="U504" s="865">
        <v>0</v>
      </c>
      <c r="V504" s="867"/>
      <c r="W504" s="867"/>
      <c r="X504" s="867"/>
      <c r="Y504" s="867">
        <f t="shared" si="443"/>
        <v>0</v>
      </c>
      <c r="Z504" s="864"/>
      <c r="AA504" s="867"/>
      <c r="AB504" s="867"/>
      <c r="AC504" s="867"/>
      <c r="AD504" s="867">
        <f t="shared" si="444"/>
        <v>0</v>
      </c>
      <c r="AE504" s="864"/>
      <c r="AF504" s="867"/>
      <c r="AG504" s="867"/>
      <c r="AH504" s="867"/>
      <c r="AI504" s="867">
        <f t="shared" si="445"/>
        <v>0</v>
      </c>
      <c r="AJ504" s="864"/>
      <c r="AK504" s="867"/>
      <c r="AL504" s="867"/>
      <c r="AM504" s="867"/>
      <c r="AN504" s="867">
        <f t="shared" si="446"/>
        <v>0</v>
      </c>
      <c r="AO504" s="864"/>
      <c r="AP504" s="867"/>
      <c r="AQ504" s="867"/>
      <c r="AR504" s="867"/>
      <c r="AS504" s="867">
        <f t="shared" si="447"/>
        <v>0</v>
      </c>
      <c r="AT504" s="864"/>
      <c r="AU504" s="867"/>
      <c r="AV504" s="867"/>
      <c r="AW504" s="868"/>
      <c r="AX504" s="867">
        <f t="shared" si="448"/>
        <v>0</v>
      </c>
      <c r="AY504" s="864"/>
      <c r="AZ504" s="867"/>
      <c r="BA504" s="867"/>
      <c r="BB504" s="867"/>
      <c r="BC504" s="867">
        <f t="shared" si="449"/>
        <v>0</v>
      </c>
      <c r="BD504" s="864"/>
      <c r="BE504" s="864"/>
      <c r="BF504" s="864"/>
      <c r="BG504" s="864"/>
      <c r="BH504" s="821"/>
    </row>
    <row r="505" spans="1:60" customFormat="1" hidden="1" outlineLevel="1" x14ac:dyDescent="0.25">
      <c r="A505" s="367" t="s">
        <v>144</v>
      </c>
      <c r="B505" s="289"/>
      <c r="C505" s="864"/>
      <c r="D505" s="864"/>
      <c r="E505" s="864"/>
      <c r="F505" s="864"/>
      <c r="G505" s="867"/>
      <c r="H505" s="867"/>
      <c r="I505" s="867"/>
      <c r="J505" s="867"/>
      <c r="K505" s="864"/>
      <c r="L505" s="867"/>
      <c r="M505" s="867"/>
      <c r="N505" s="867"/>
      <c r="O505" s="867"/>
      <c r="P505" s="864"/>
      <c r="Q505" s="867"/>
      <c r="R505" s="867"/>
      <c r="S505" s="867"/>
      <c r="T505" s="867"/>
      <c r="U505" s="864"/>
      <c r="V505" s="867"/>
      <c r="W505" s="867"/>
      <c r="X505" s="867"/>
      <c r="Y505" s="867"/>
      <c r="Z505" s="864"/>
      <c r="AA505" s="867"/>
      <c r="AB505" s="866">
        <v>64.22</v>
      </c>
      <c r="AC505" s="866">
        <v>115.05</v>
      </c>
      <c r="AD505" s="867">
        <f t="shared" si="444"/>
        <v>140.79</v>
      </c>
      <c r="AE505" s="865">
        <v>140.79</v>
      </c>
      <c r="AF505" s="866">
        <v>41.08</v>
      </c>
      <c r="AG505" s="866">
        <v>-44.33</v>
      </c>
      <c r="AH505" s="866">
        <v>-52</v>
      </c>
      <c r="AI505" s="867">
        <f t="shared" si="445"/>
        <v>-73.953000000000003</v>
      </c>
      <c r="AJ505" s="865">
        <v>-73.953000000000003</v>
      </c>
      <c r="AK505" s="866">
        <v>-57.6</v>
      </c>
      <c r="AL505" s="866">
        <v>3.6840000000000002</v>
      </c>
      <c r="AM505" s="866">
        <v>-167.67599999999999</v>
      </c>
      <c r="AN505" s="867">
        <f t="shared" si="446"/>
        <v>-45.576000000000001</v>
      </c>
      <c r="AO505" s="865">
        <v>-45.576000000000001</v>
      </c>
      <c r="AP505" s="866">
        <v>-93.06</v>
      </c>
      <c r="AQ505" s="866">
        <v>26.100999999999999</v>
      </c>
      <c r="AR505" s="866">
        <v>275.29500000000002</v>
      </c>
      <c r="AS505" s="867">
        <f t="shared" si="447"/>
        <v>533.27800000000002</v>
      </c>
      <c r="AT505" s="865">
        <v>533.27800000000002</v>
      </c>
      <c r="AU505" s="866">
        <v>-253.33</v>
      </c>
      <c r="AV505" s="866">
        <v>-190.256</v>
      </c>
      <c r="AW505" s="878">
        <v>-326.74400000000003</v>
      </c>
      <c r="AX505" s="867">
        <f t="shared" si="448"/>
        <v>0</v>
      </c>
      <c r="AY505" s="864"/>
      <c r="AZ505" s="867"/>
      <c r="BA505" s="867"/>
      <c r="BB505" s="867"/>
      <c r="BC505" s="867">
        <f t="shared" si="449"/>
        <v>0</v>
      </c>
      <c r="BD505" s="864"/>
      <c r="BE505" s="864"/>
      <c r="BF505" s="864"/>
      <c r="BG505" s="864"/>
      <c r="BH505" s="821"/>
    </row>
    <row r="506" spans="1:60" customFormat="1" hidden="1" outlineLevel="1" x14ac:dyDescent="0.25">
      <c r="A506" s="367" t="s">
        <v>145</v>
      </c>
      <c r="B506" s="289"/>
      <c r="C506" s="865">
        <v>6.3280000000000003</v>
      </c>
      <c r="D506" s="865">
        <v>-0.96199999999999997</v>
      </c>
      <c r="E506" s="865">
        <v>-18.597000000000001</v>
      </c>
      <c r="F506" s="865">
        <v>-30.071000000000002</v>
      </c>
      <c r="G506" s="866">
        <v>-6.7480000000000002</v>
      </c>
      <c r="H506" s="866">
        <v>-8.7880000000000003</v>
      </c>
      <c r="I506" s="866">
        <v>-11.212</v>
      </c>
      <c r="J506" s="866">
        <v>-22.044</v>
      </c>
      <c r="K506" s="865">
        <v>-22.044</v>
      </c>
      <c r="L506" s="866">
        <v>-13.103</v>
      </c>
      <c r="M506" s="866">
        <v>-29.672000000000001</v>
      </c>
      <c r="N506" s="866">
        <v>-37.564</v>
      </c>
      <c r="O506" s="866">
        <v>-30.062999999999999</v>
      </c>
      <c r="P506" s="865">
        <v>-30.062999999999999</v>
      </c>
      <c r="Q506" s="866">
        <v>-37.042000000000002</v>
      </c>
      <c r="R506" s="866">
        <v>-41.274000000000001</v>
      </c>
      <c r="S506" s="866">
        <v>-70.691000000000003</v>
      </c>
      <c r="T506" s="866">
        <v>-58.655000000000001</v>
      </c>
      <c r="U506" s="865">
        <v>-58.655000000000001</v>
      </c>
      <c r="V506" s="866">
        <v>-16.603000000000002</v>
      </c>
      <c r="W506" s="866">
        <v>-34.478999999999999</v>
      </c>
      <c r="X506" s="866">
        <v>-20.140999999999998</v>
      </c>
      <c r="Y506" s="867">
        <f>Z506</f>
        <v>-46.847000000000001</v>
      </c>
      <c r="Z506" s="865">
        <v>-46.847000000000001</v>
      </c>
      <c r="AA506" s="866">
        <v>-26.763999999999999</v>
      </c>
      <c r="AB506" s="866">
        <v>-47.466000000000001</v>
      </c>
      <c r="AC506" s="866">
        <v>-104.556</v>
      </c>
      <c r="AD506" s="867">
        <f t="shared" si="444"/>
        <v>-208.68799999999999</v>
      </c>
      <c r="AE506" s="865">
        <v>-208.68799999999999</v>
      </c>
      <c r="AF506" s="866">
        <v>-22.048999999999999</v>
      </c>
      <c r="AG506" s="866">
        <v>-31.588000000000001</v>
      </c>
      <c r="AH506" s="866">
        <v>-71.040999999999997</v>
      </c>
      <c r="AI506" s="867">
        <f t="shared" si="445"/>
        <v>-85.52</v>
      </c>
      <c r="AJ506" s="865">
        <v>-85.52</v>
      </c>
      <c r="AK506" s="866">
        <v>6.6269999999999998</v>
      </c>
      <c r="AL506" s="866">
        <v>42.146000000000001</v>
      </c>
      <c r="AM506" s="866">
        <v>94.251000000000005</v>
      </c>
      <c r="AN506" s="867">
        <f t="shared" si="446"/>
        <v>-94.442999999999998</v>
      </c>
      <c r="AO506" s="865">
        <v>-94.442999999999998</v>
      </c>
      <c r="AP506" s="866">
        <v>46.619</v>
      </c>
      <c r="AQ506" s="866">
        <v>269.92700000000002</v>
      </c>
      <c r="AR506" s="866">
        <v>229.65</v>
      </c>
      <c r="AS506" s="867">
        <f t="shared" si="447"/>
        <v>70.066000000000003</v>
      </c>
      <c r="AT506" s="865">
        <v>70.066000000000003</v>
      </c>
      <c r="AU506" s="866">
        <v>159.733</v>
      </c>
      <c r="AV506" s="866">
        <v>210.86</v>
      </c>
      <c r="AW506" s="878">
        <v>261.827</v>
      </c>
      <c r="AX506" s="867">
        <f t="shared" si="448"/>
        <v>0</v>
      </c>
      <c r="AY506" s="864"/>
      <c r="AZ506" s="867"/>
      <c r="BA506" s="867"/>
      <c r="BB506" s="867"/>
      <c r="BC506" s="867">
        <f t="shared" si="449"/>
        <v>0</v>
      </c>
      <c r="BD506" s="864"/>
      <c r="BE506" s="864"/>
      <c r="BF506" s="864"/>
      <c r="BG506" s="864"/>
      <c r="BH506" s="821"/>
    </row>
    <row r="507" spans="1:60" customFormat="1" hidden="1" outlineLevel="1" x14ac:dyDescent="0.25">
      <c r="A507" s="113" t="s">
        <v>146</v>
      </c>
      <c r="B507" s="441"/>
      <c r="C507" s="886">
        <v>-1.7829999999999999</v>
      </c>
      <c r="D507" s="886">
        <v>0</v>
      </c>
      <c r="E507" s="886">
        <v>0</v>
      </c>
      <c r="F507" s="886">
        <v>0</v>
      </c>
      <c r="G507" s="885">
        <v>0</v>
      </c>
      <c r="H507" s="885">
        <v>0</v>
      </c>
      <c r="I507" s="885">
        <v>0</v>
      </c>
      <c r="J507" s="885">
        <v>0</v>
      </c>
      <c r="K507" s="886">
        <v>0</v>
      </c>
      <c r="L507" s="885">
        <v>0</v>
      </c>
      <c r="M507" s="885">
        <v>0</v>
      </c>
      <c r="N507" s="885">
        <v>0</v>
      </c>
      <c r="O507" s="885">
        <v>0</v>
      </c>
      <c r="P507" s="886">
        <v>0</v>
      </c>
      <c r="Q507" s="885">
        <v>0</v>
      </c>
      <c r="R507" s="885">
        <v>0</v>
      </c>
      <c r="S507" s="885">
        <v>0</v>
      </c>
      <c r="T507" s="885">
        <v>0</v>
      </c>
      <c r="U507" s="886">
        <v>0</v>
      </c>
      <c r="V507" s="882"/>
      <c r="W507" s="882"/>
      <c r="X507" s="882"/>
      <c r="Y507" s="882">
        <f>Z507</f>
        <v>0</v>
      </c>
      <c r="Z507" s="881"/>
      <c r="AA507" s="882"/>
      <c r="AB507" s="882"/>
      <c r="AC507" s="882"/>
      <c r="AD507" s="882">
        <f t="shared" si="444"/>
        <v>0</v>
      </c>
      <c r="AE507" s="881"/>
      <c r="AF507" s="882"/>
      <c r="AG507" s="882"/>
      <c r="AH507" s="882"/>
      <c r="AI507" s="882">
        <f t="shared" si="445"/>
        <v>0</v>
      </c>
      <c r="AJ507" s="881"/>
      <c r="AK507" s="882"/>
      <c r="AL507" s="882"/>
      <c r="AM507" s="882"/>
      <c r="AN507" s="882">
        <f t="shared" si="446"/>
        <v>0</v>
      </c>
      <c r="AO507" s="881"/>
      <c r="AP507" s="882"/>
      <c r="AQ507" s="882"/>
      <c r="AR507" s="882"/>
      <c r="AS507" s="882">
        <f t="shared" si="447"/>
        <v>0</v>
      </c>
      <c r="AT507" s="881"/>
      <c r="AU507" s="882"/>
      <c r="AV507" s="882"/>
      <c r="AW507" s="883"/>
      <c r="AX507" s="882">
        <f t="shared" si="448"/>
        <v>0</v>
      </c>
      <c r="AY507" s="881"/>
      <c r="AZ507" s="882"/>
      <c r="BA507" s="882"/>
      <c r="BB507" s="882"/>
      <c r="BC507" s="882">
        <f t="shared" si="449"/>
        <v>0</v>
      </c>
      <c r="BD507" s="881"/>
      <c r="BE507" s="881"/>
      <c r="BF507" s="881"/>
      <c r="BG507" s="881"/>
      <c r="BH507" s="821"/>
    </row>
    <row r="508" spans="1:60" customFormat="1" hidden="1" outlineLevel="1" x14ac:dyDescent="0.25">
      <c r="A508" s="61" t="s">
        <v>147</v>
      </c>
      <c r="B508" s="505"/>
      <c r="C508" s="872">
        <f t="shared" ref="C508:AH508" si="450">SUM(C495:C507)</f>
        <v>302.48199999999997</v>
      </c>
      <c r="D508" s="872">
        <f t="shared" si="450"/>
        <v>217.26100000000002</v>
      </c>
      <c r="E508" s="872">
        <f t="shared" si="450"/>
        <v>202.11900000000017</v>
      </c>
      <c r="F508" s="872">
        <f t="shared" si="450"/>
        <v>-3.239999999999803</v>
      </c>
      <c r="G508" s="871">
        <f t="shared" si="450"/>
        <v>-37.262000000000022</v>
      </c>
      <c r="H508" s="871">
        <f t="shared" si="450"/>
        <v>-57.240999999999957</v>
      </c>
      <c r="I508" s="871">
        <f t="shared" si="450"/>
        <v>-13.594999999999899</v>
      </c>
      <c r="J508" s="871">
        <f t="shared" si="450"/>
        <v>-22.035999999999937</v>
      </c>
      <c r="K508" s="872">
        <f t="shared" si="450"/>
        <v>-22.035999999999937</v>
      </c>
      <c r="L508" s="871">
        <f t="shared" si="450"/>
        <v>-42.615999999999957</v>
      </c>
      <c r="M508" s="871">
        <f t="shared" si="450"/>
        <v>-36.27699999999993</v>
      </c>
      <c r="N508" s="871">
        <f t="shared" si="450"/>
        <v>-109.64800000000028</v>
      </c>
      <c r="O508" s="871">
        <f t="shared" si="450"/>
        <v>-120.61999999999988</v>
      </c>
      <c r="P508" s="872">
        <f t="shared" si="450"/>
        <v>-120.61999999999988</v>
      </c>
      <c r="Q508" s="871">
        <f t="shared" si="450"/>
        <v>-208.32999999999996</v>
      </c>
      <c r="R508" s="871">
        <f t="shared" si="450"/>
        <v>-413.91099999999994</v>
      </c>
      <c r="S508" s="871">
        <f t="shared" si="450"/>
        <v>-706.14200000000017</v>
      </c>
      <c r="T508" s="871">
        <f t="shared" si="450"/>
        <v>-922.32599999999979</v>
      </c>
      <c r="U508" s="872">
        <f t="shared" si="450"/>
        <v>-922.32599999999979</v>
      </c>
      <c r="V508" s="871">
        <f t="shared" si="450"/>
        <v>-262.19800000000038</v>
      </c>
      <c r="W508" s="871">
        <f t="shared" si="450"/>
        <v>-543.22599999999954</v>
      </c>
      <c r="X508" s="871">
        <f t="shared" si="450"/>
        <v>-1091.3489999999997</v>
      </c>
      <c r="Y508" s="870">
        <f t="shared" si="450"/>
        <v>-1666.3640000000009</v>
      </c>
      <c r="Z508" s="869">
        <f t="shared" si="450"/>
        <v>-1666.3640000000009</v>
      </c>
      <c r="AA508" s="871">
        <f t="shared" si="450"/>
        <v>-425.06699999999995</v>
      </c>
      <c r="AB508" s="871">
        <f t="shared" si="450"/>
        <v>-824.07700000000057</v>
      </c>
      <c r="AC508" s="871">
        <f t="shared" si="450"/>
        <v>-1335.7180000000001</v>
      </c>
      <c r="AD508" s="870">
        <f t="shared" si="450"/>
        <v>-1844.9250000000011</v>
      </c>
      <c r="AE508" s="869">
        <f t="shared" si="450"/>
        <v>-1844.9250000000011</v>
      </c>
      <c r="AF508" s="871">
        <f t="shared" si="450"/>
        <v>-443.08399999999926</v>
      </c>
      <c r="AG508" s="871">
        <f t="shared" si="450"/>
        <v>-955.07099999999946</v>
      </c>
      <c r="AH508" s="871">
        <f t="shared" si="450"/>
        <v>-1738.0429999999994</v>
      </c>
      <c r="AI508" s="870">
        <f t="shared" ref="AI508:AY508" si="451">SUM(AI495:AI507)</f>
        <v>-2974.2460000000005</v>
      </c>
      <c r="AJ508" s="869">
        <f t="shared" si="451"/>
        <v>-2974.2460000000005</v>
      </c>
      <c r="AK508" s="871">
        <f t="shared" si="451"/>
        <v>-424.20999999999964</v>
      </c>
      <c r="AL508" s="871">
        <f t="shared" si="451"/>
        <v>-972.32000000000039</v>
      </c>
      <c r="AM508" s="871">
        <f t="shared" si="451"/>
        <v>-1705.2939999999992</v>
      </c>
      <c r="AN508" s="870">
        <f t="shared" si="451"/>
        <v>-2930.365000000003</v>
      </c>
      <c r="AO508" s="869">
        <f t="shared" si="451"/>
        <v>-2930.365000000003</v>
      </c>
      <c r="AP508" s="871">
        <f t="shared" si="451"/>
        <v>301.6650000000003</v>
      </c>
      <c r="AQ508" s="871">
        <f t="shared" si="451"/>
        <v>1553.4470000000001</v>
      </c>
      <c r="AR508" s="871">
        <f>SUM(AR495:AR507)</f>
        <v>2471.536000000001</v>
      </c>
      <c r="AS508" s="870">
        <f>SUM(AS495:AS507)</f>
        <v>2458.9499999999998</v>
      </c>
      <c r="AT508" s="869">
        <f>SUM(AT495:AT507)</f>
        <v>2458.9499999999998</v>
      </c>
      <c r="AU508" s="871">
        <f t="shared" ref="AU508" si="452">SUM(AU495:AU507)</f>
        <v>997.32599999999979</v>
      </c>
      <c r="AV508" s="871">
        <f>SUM(AV495:AV507)</f>
        <v>1110.5050000000003</v>
      </c>
      <c r="AW508" s="873">
        <f>SUM(AW495:AW507)</f>
        <v>1009.1649999999994</v>
      </c>
      <c r="AX508" s="870">
        <f t="shared" si="451"/>
        <v>0</v>
      </c>
      <c r="AY508" s="869">
        <f t="shared" si="451"/>
        <v>0</v>
      </c>
      <c r="AZ508" s="870">
        <f t="shared" ref="AZ508:BG508" si="453">SUM(AZ495:AZ507)</f>
        <v>0</v>
      </c>
      <c r="BA508" s="870">
        <f t="shared" si="453"/>
        <v>0</v>
      </c>
      <c r="BB508" s="870">
        <f t="shared" si="453"/>
        <v>0</v>
      </c>
      <c r="BC508" s="870">
        <f t="shared" si="453"/>
        <v>0</v>
      </c>
      <c r="BD508" s="869">
        <f t="shared" si="453"/>
        <v>0</v>
      </c>
      <c r="BE508" s="869">
        <f t="shared" si="453"/>
        <v>0</v>
      </c>
      <c r="BF508" s="869">
        <f t="shared" si="453"/>
        <v>0</v>
      </c>
      <c r="BG508" s="869">
        <f t="shared" si="453"/>
        <v>0</v>
      </c>
      <c r="BH508" s="824"/>
    </row>
    <row r="509" spans="1:60" customFormat="1" hidden="1" outlineLevel="1" x14ac:dyDescent="0.25">
      <c r="A509" s="367" t="s">
        <v>148</v>
      </c>
      <c r="B509" s="289"/>
      <c r="C509" s="865">
        <v>-5.6429999999999998</v>
      </c>
      <c r="D509" s="865">
        <v>-35.475999999999999</v>
      </c>
      <c r="E509" s="865">
        <v>6.2110000000000003</v>
      </c>
      <c r="F509" s="865">
        <v>0</v>
      </c>
      <c r="G509" s="866">
        <v>0</v>
      </c>
      <c r="H509" s="866">
        <v>0</v>
      </c>
      <c r="I509" s="866">
        <v>0</v>
      </c>
      <c r="J509" s="866">
        <v>0</v>
      </c>
      <c r="K509" s="865">
        <v>0</v>
      </c>
      <c r="L509" s="866">
        <v>0</v>
      </c>
      <c r="M509" s="866">
        <v>0</v>
      </c>
      <c r="N509" s="866">
        <v>0</v>
      </c>
      <c r="O509" s="866">
        <v>0</v>
      </c>
      <c r="P509" s="865">
        <v>0</v>
      </c>
      <c r="Q509" s="866">
        <v>0</v>
      </c>
      <c r="R509" s="866">
        <v>0</v>
      </c>
      <c r="S509" s="866">
        <v>0</v>
      </c>
      <c r="T509" s="866">
        <v>0</v>
      </c>
      <c r="U509" s="865">
        <v>0</v>
      </c>
      <c r="V509" s="867"/>
      <c r="W509" s="867"/>
      <c r="X509" s="867"/>
      <c r="Y509" s="867">
        <f t="shared" ref="Y509:Y514" si="454">Z509</f>
        <v>0</v>
      </c>
      <c r="Z509" s="864"/>
      <c r="AA509" s="866">
        <v>0</v>
      </c>
      <c r="AB509" s="867"/>
      <c r="AC509" s="867"/>
      <c r="AD509" s="867">
        <f t="shared" ref="AD509:AD514" si="455">AE509</f>
        <v>0</v>
      </c>
      <c r="AE509" s="864"/>
      <c r="AF509" s="867"/>
      <c r="AG509" s="867"/>
      <c r="AH509" s="867"/>
      <c r="AI509" s="867">
        <f t="shared" ref="AI509:AI514" si="456">AJ509</f>
        <v>0</v>
      </c>
      <c r="AJ509" s="864"/>
      <c r="AK509" s="867"/>
      <c r="AL509" s="867"/>
      <c r="AM509" s="867"/>
      <c r="AN509" s="867">
        <f t="shared" ref="AN509:AN514" si="457">AO509</f>
        <v>0</v>
      </c>
      <c r="AO509" s="864"/>
      <c r="AP509" s="867"/>
      <c r="AQ509" s="867"/>
      <c r="AR509" s="867"/>
      <c r="AS509" s="867">
        <f t="shared" ref="AS509:AS514" si="458">AT509</f>
        <v>0</v>
      </c>
      <c r="AT509" s="864"/>
      <c r="AU509" s="867"/>
      <c r="AV509" s="867"/>
      <c r="AW509" s="868"/>
      <c r="AX509" s="867">
        <f t="shared" ref="AX509:AX514" si="459">AY509</f>
        <v>0</v>
      </c>
      <c r="AY509" s="864"/>
      <c r="AZ509" s="867"/>
      <c r="BA509" s="867"/>
      <c r="BB509" s="867"/>
      <c r="BC509" s="867">
        <f t="shared" ref="BC509:BC514" si="460">BD509</f>
        <v>0</v>
      </c>
      <c r="BD509" s="864"/>
      <c r="BE509" s="864"/>
      <c r="BF509" s="864"/>
      <c r="BG509" s="864"/>
      <c r="BH509" s="821"/>
    </row>
    <row r="510" spans="1:60" customFormat="1" hidden="1" outlineLevel="1" x14ac:dyDescent="0.25">
      <c r="A510" s="367" t="s">
        <v>149</v>
      </c>
      <c r="B510" s="289"/>
      <c r="C510" s="865">
        <v>-5.3579999999999997</v>
      </c>
      <c r="D510" s="865">
        <v>-18.027000000000001</v>
      </c>
      <c r="E510" s="865">
        <v>-4.7750000000000004</v>
      </c>
      <c r="F510" s="865">
        <v>-5.4320000000000004</v>
      </c>
      <c r="G510" s="866">
        <v>-5.7270000000000003</v>
      </c>
      <c r="H510" s="866">
        <v>28.035</v>
      </c>
      <c r="I510" s="866">
        <v>37.954999999999998</v>
      </c>
      <c r="J510" s="866">
        <v>62.234000000000002</v>
      </c>
      <c r="K510" s="865">
        <v>62.234000000000002</v>
      </c>
      <c r="L510" s="866">
        <v>35.066000000000003</v>
      </c>
      <c r="M510" s="866">
        <v>14.381</v>
      </c>
      <c r="N510" s="866">
        <v>27.341000000000001</v>
      </c>
      <c r="O510" s="866">
        <v>-8.7579999999999991</v>
      </c>
      <c r="P510" s="865">
        <v>-8.7579999999999991</v>
      </c>
      <c r="Q510" s="866">
        <v>23.109000000000002</v>
      </c>
      <c r="R510" s="866">
        <v>-16.504999999999999</v>
      </c>
      <c r="S510" s="866">
        <v>54.667000000000002</v>
      </c>
      <c r="T510" s="866">
        <v>18.693000000000001</v>
      </c>
      <c r="U510" s="865">
        <v>18.693000000000001</v>
      </c>
      <c r="V510" s="866">
        <v>14.308</v>
      </c>
      <c r="W510" s="866">
        <v>38.399000000000001</v>
      </c>
      <c r="X510" s="866">
        <v>48.649000000000001</v>
      </c>
      <c r="Y510" s="867">
        <f t="shared" si="454"/>
        <v>46.97</v>
      </c>
      <c r="Z510" s="865">
        <v>46.97</v>
      </c>
      <c r="AA510" s="866">
        <v>-25.402000000000001</v>
      </c>
      <c r="AB510" s="866">
        <v>-105.601</v>
      </c>
      <c r="AC510" s="866">
        <v>-147</v>
      </c>
      <c r="AD510" s="867">
        <f t="shared" si="455"/>
        <v>-234.09</v>
      </c>
      <c r="AE510" s="865">
        <v>-234.09</v>
      </c>
      <c r="AF510" s="866">
        <v>-55.905000000000001</v>
      </c>
      <c r="AG510" s="866">
        <v>-81.468999999999994</v>
      </c>
      <c r="AH510" s="866">
        <v>-111.833</v>
      </c>
      <c r="AI510" s="867">
        <f t="shared" si="456"/>
        <v>-200.19200000000001</v>
      </c>
      <c r="AJ510" s="865">
        <v>-200.19200000000001</v>
      </c>
      <c r="AK510" s="866">
        <v>-32.076000000000001</v>
      </c>
      <c r="AL510" s="866">
        <v>-56.307000000000002</v>
      </c>
      <c r="AM510" s="866">
        <v>-56.161999999999999</v>
      </c>
      <c r="AN510" s="867">
        <f t="shared" si="457"/>
        <v>-252.113</v>
      </c>
      <c r="AO510" s="865">
        <v>-252.113</v>
      </c>
      <c r="AP510" s="866">
        <v>-127.35299999999999</v>
      </c>
      <c r="AQ510" s="866">
        <v>-124.28700000000001</v>
      </c>
      <c r="AR510" s="866">
        <v>-147.261</v>
      </c>
      <c r="AS510" s="867">
        <f t="shared" si="458"/>
        <v>-187.62299999999999</v>
      </c>
      <c r="AT510" s="865">
        <v>-187.62299999999999</v>
      </c>
      <c r="AU510" s="866">
        <v>-221.55500000000001</v>
      </c>
      <c r="AV510" s="866">
        <v>-273.928</v>
      </c>
      <c r="AW510" s="878">
        <v>-369.07299999999998</v>
      </c>
      <c r="AX510" s="867">
        <f t="shared" si="459"/>
        <v>0</v>
      </c>
      <c r="AY510" s="864"/>
      <c r="AZ510" s="867"/>
      <c r="BA510" s="867"/>
      <c r="BB510" s="867"/>
      <c r="BC510" s="867">
        <f t="shared" si="460"/>
        <v>0</v>
      </c>
      <c r="BD510" s="864"/>
      <c r="BE510" s="864"/>
      <c r="BF510" s="864"/>
      <c r="BG510" s="864"/>
      <c r="BH510" s="821"/>
    </row>
    <row r="511" spans="1:60" customFormat="1" hidden="1" outlineLevel="1" x14ac:dyDescent="0.25">
      <c r="A511" s="367" t="s">
        <v>150</v>
      </c>
      <c r="B511" s="289"/>
      <c r="C511" s="865">
        <v>1.5369999999999999</v>
      </c>
      <c r="D511" s="865">
        <v>19.213999999999999</v>
      </c>
      <c r="E511" s="865">
        <v>23.968</v>
      </c>
      <c r="F511" s="865">
        <v>-4.9429999999999996</v>
      </c>
      <c r="G511" s="866">
        <v>17.018999999999998</v>
      </c>
      <c r="H511" s="866">
        <v>11.881</v>
      </c>
      <c r="I511" s="866">
        <v>6.0039999999999996</v>
      </c>
      <c r="J511" s="866">
        <v>18.373999999999999</v>
      </c>
      <c r="K511" s="865">
        <v>18.373999999999999</v>
      </c>
      <c r="L511" s="866">
        <v>22.812000000000001</v>
      </c>
      <c r="M511" s="866">
        <v>19.725999999999999</v>
      </c>
      <c r="N511" s="866">
        <v>32.728999999999999</v>
      </c>
      <c r="O511" s="866">
        <v>83.811999999999998</v>
      </c>
      <c r="P511" s="865">
        <v>83.811999999999998</v>
      </c>
      <c r="Q511" s="866">
        <v>-10.625</v>
      </c>
      <c r="R511" s="866">
        <v>-4.1779999999999999</v>
      </c>
      <c r="S511" s="866">
        <v>2.5840000000000001</v>
      </c>
      <c r="T511" s="866">
        <v>51.615000000000002</v>
      </c>
      <c r="U511" s="865">
        <v>51.615000000000002</v>
      </c>
      <c r="V511" s="866">
        <v>-19.898</v>
      </c>
      <c r="W511" s="866">
        <v>-11.103</v>
      </c>
      <c r="X511" s="866">
        <v>16.707000000000001</v>
      </c>
      <c r="Y511" s="867">
        <f t="shared" si="454"/>
        <v>32.247</v>
      </c>
      <c r="Z511" s="865">
        <v>32.247</v>
      </c>
      <c r="AA511" s="866">
        <v>-11</v>
      </c>
      <c r="AB511" s="866">
        <v>-23.439</v>
      </c>
      <c r="AC511" s="866">
        <v>10.59</v>
      </c>
      <c r="AD511" s="867">
        <f t="shared" si="455"/>
        <v>74.558999999999997</v>
      </c>
      <c r="AE511" s="865">
        <v>74.558999999999997</v>
      </c>
      <c r="AF511" s="866">
        <v>74.082999999999998</v>
      </c>
      <c r="AG511" s="866">
        <v>81.816000000000003</v>
      </c>
      <c r="AH511" s="866">
        <v>77.367000000000004</v>
      </c>
      <c r="AI511" s="867">
        <f t="shared" si="456"/>
        <v>199.19800000000001</v>
      </c>
      <c r="AJ511" s="865">
        <v>199.19800000000001</v>
      </c>
      <c r="AK511" s="866">
        <v>-124.467</v>
      </c>
      <c r="AL511" s="866">
        <v>-127.14100000000001</v>
      </c>
      <c r="AM511" s="866">
        <v>-134.78399999999999</v>
      </c>
      <c r="AN511" s="867">
        <f t="shared" si="457"/>
        <v>96.063000000000002</v>
      </c>
      <c r="AO511" s="865">
        <v>96.063000000000002</v>
      </c>
      <c r="AP511" s="866">
        <v>-149.15299999999999</v>
      </c>
      <c r="AQ511" s="866">
        <v>-261.18</v>
      </c>
      <c r="AR511" s="866">
        <v>-149.50299999999999</v>
      </c>
      <c r="AS511" s="867">
        <f t="shared" si="458"/>
        <v>-41.604999999999997</v>
      </c>
      <c r="AT511" s="865">
        <v>-41.604999999999997</v>
      </c>
      <c r="AU511" s="866">
        <v>-137.31299999999999</v>
      </c>
      <c r="AV511" s="866">
        <v>-65</v>
      </c>
      <c r="AW511" s="878">
        <v>-40.164000000000001</v>
      </c>
      <c r="AX511" s="867">
        <f t="shared" si="459"/>
        <v>0</v>
      </c>
      <c r="AY511" s="864"/>
      <c r="AZ511" s="867"/>
      <c r="BA511" s="867"/>
      <c r="BB511" s="867"/>
      <c r="BC511" s="867">
        <f t="shared" si="460"/>
        <v>0</v>
      </c>
      <c r="BD511" s="864"/>
      <c r="BE511" s="864"/>
      <c r="BF511" s="864"/>
      <c r="BG511" s="864"/>
      <c r="BH511" s="821"/>
    </row>
    <row r="512" spans="1:60" customFormat="1" hidden="1" outlineLevel="1" x14ac:dyDescent="0.25">
      <c r="A512" s="367" t="s">
        <v>151</v>
      </c>
      <c r="B512" s="289"/>
      <c r="C512" s="865">
        <v>13.169</v>
      </c>
      <c r="D512" s="865">
        <v>65.697999999999993</v>
      </c>
      <c r="E512" s="865">
        <v>65.56</v>
      </c>
      <c r="F512" s="865">
        <v>9.8059999999999992</v>
      </c>
      <c r="G512" s="866">
        <v>-4.1319999999999997</v>
      </c>
      <c r="H512" s="866">
        <v>6.3620000000000001</v>
      </c>
      <c r="I512" s="866">
        <v>-5.0890000000000004</v>
      </c>
      <c r="J512" s="866">
        <v>1.9410000000000001</v>
      </c>
      <c r="K512" s="865">
        <v>1.9410000000000001</v>
      </c>
      <c r="L512" s="866">
        <v>-0.442</v>
      </c>
      <c r="M512" s="866">
        <v>58.566000000000003</v>
      </c>
      <c r="N512" s="866">
        <v>51.585999999999999</v>
      </c>
      <c r="O512" s="866">
        <v>55.636000000000003</v>
      </c>
      <c r="P512" s="865">
        <v>55.636000000000003</v>
      </c>
      <c r="Q512" s="866">
        <v>35.921999999999997</v>
      </c>
      <c r="R512" s="866">
        <v>77.546000000000006</v>
      </c>
      <c r="S512" s="866">
        <v>88.429000000000002</v>
      </c>
      <c r="T512" s="866">
        <v>48.81</v>
      </c>
      <c r="U512" s="865">
        <v>48.81</v>
      </c>
      <c r="V512" s="866">
        <v>41.231999999999999</v>
      </c>
      <c r="W512" s="866">
        <v>43.331000000000003</v>
      </c>
      <c r="X512" s="866">
        <v>72.287999999999997</v>
      </c>
      <c r="Y512" s="867">
        <f t="shared" si="454"/>
        <v>68.706000000000003</v>
      </c>
      <c r="Z512" s="865">
        <v>68.706000000000003</v>
      </c>
      <c r="AA512" s="866">
        <v>93.542000000000002</v>
      </c>
      <c r="AB512" s="866">
        <v>45.5</v>
      </c>
      <c r="AC512" s="866">
        <v>119.506</v>
      </c>
      <c r="AD512" s="867">
        <f t="shared" si="455"/>
        <v>114.337</v>
      </c>
      <c r="AE512" s="865">
        <v>114.337</v>
      </c>
      <c r="AF512" s="866">
        <v>119.04900000000001</v>
      </c>
      <c r="AG512" s="866">
        <v>66.197999999999993</v>
      </c>
      <c r="AH512" s="866">
        <v>200.19800000000001</v>
      </c>
      <c r="AI512" s="867">
        <f t="shared" si="456"/>
        <v>150.422</v>
      </c>
      <c r="AJ512" s="865">
        <v>150.422</v>
      </c>
      <c r="AK512" s="866">
        <v>157.64699999999999</v>
      </c>
      <c r="AL512" s="866">
        <v>130.94200000000001</v>
      </c>
      <c r="AM512" s="866">
        <v>391.81400000000002</v>
      </c>
      <c r="AN512" s="867">
        <f t="shared" si="457"/>
        <v>157.77799999999999</v>
      </c>
      <c r="AO512" s="865">
        <v>157.77799999999999</v>
      </c>
      <c r="AP512" s="866">
        <v>214.191</v>
      </c>
      <c r="AQ512" s="866">
        <v>108.741</v>
      </c>
      <c r="AR512" s="866">
        <v>374.76799999999997</v>
      </c>
      <c r="AS512" s="867">
        <f t="shared" si="458"/>
        <v>198.18299999999999</v>
      </c>
      <c r="AT512" s="865">
        <v>198.18299999999999</v>
      </c>
      <c r="AU512" s="866">
        <v>177.89699999999999</v>
      </c>
      <c r="AV512" s="866">
        <v>6.4669999999999996</v>
      </c>
      <c r="AW512" s="878">
        <v>276.24099999999999</v>
      </c>
      <c r="AX512" s="867">
        <f t="shared" si="459"/>
        <v>0</v>
      </c>
      <c r="AY512" s="864"/>
      <c r="AZ512" s="867"/>
      <c r="BA512" s="867"/>
      <c r="BB512" s="867"/>
      <c r="BC512" s="867">
        <f t="shared" si="460"/>
        <v>0</v>
      </c>
      <c r="BD512" s="864"/>
      <c r="BE512" s="864"/>
      <c r="BF512" s="864"/>
      <c r="BG512" s="864"/>
      <c r="BH512" s="821"/>
    </row>
    <row r="513" spans="1:60" customFormat="1" hidden="1" outlineLevel="1" x14ac:dyDescent="0.25">
      <c r="A513" s="367" t="s">
        <v>152</v>
      </c>
      <c r="B513" s="289"/>
      <c r="C513" s="865">
        <v>16.97</v>
      </c>
      <c r="D513" s="865">
        <v>27.085999999999999</v>
      </c>
      <c r="E513" s="865">
        <v>21.613</v>
      </c>
      <c r="F513" s="865">
        <v>20.675999999999998</v>
      </c>
      <c r="G513" s="866">
        <v>9.4060000000000006</v>
      </c>
      <c r="H513" s="866">
        <v>17.099</v>
      </c>
      <c r="I513" s="866">
        <v>26.350999999999999</v>
      </c>
      <c r="J513" s="866">
        <v>46.295000000000002</v>
      </c>
      <c r="K513" s="865">
        <v>46.295000000000002</v>
      </c>
      <c r="L513" s="866">
        <v>14.247999999999999</v>
      </c>
      <c r="M513" s="866">
        <v>25.562999999999999</v>
      </c>
      <c r="N513" s="866">
        <v>37.189</v>
      </c>
      <c r="O513" s="866">
        <v>58.819000000000003</v>
      </c>
      <c r="P513" s="865">
        <v>58.819000000000003</v>
      </c>
      <c r="Q513" s="866">
        <v>10.754</v>
      </c>
      <c r="R513" s="866">
        <v>27.167999999999999</v>
      </c>
      <c r="S513" s="866">
        <v>55.152999999999999</v>
      </c>
      <c r="T513" s="866">
        <v>72.135000000000005</v>
      </c>
      <c r="U513" s="865">
        <v>72.135000000000005</v>
      </c>
      <c r="V513" s="866">
        <v>27.501999999999999</v>
      </c>
      <c r="W513" s="866">
        <v>50.255000000000003</v>
      </c>
      <c r="X513" s="866">
        <v>80.484999999999999</v>
      </c>
      <c r="Y513" s="867">
        <f t="shared" si="454"/>
        <v>96.751000000000005</v>
      </c>
      <c r="Z513" s="865">
        <v>96.751000000000005</v>
      </c>
      <c r="AA513" s="866">
        <v>15.221</v>
      </c>
      <c r="AB513" s="866">
        <v>61.83</v>
      </c>
      <c r="AC513" s="866">
        <v>94.777000000000001</v>
      </c>
      <c r="AD513" s="867">
        <f t="shared" si="455"/>
        <v>177.97399999999999</v>
      </c>
      <c r="AE513" s="865">
        <v>177.97399999999999</v>
      </c>
      <c r="AF513" s="866">
        <v>55.27</v>
      </c>
      <c r="AG513" s="866">
        <v>79.117999999999995</v>
      </c>
      <c r="AH513" s="866">
        <v>98.100999999999999</v>
      </c>
      <c r="AI513" s="867">
        <f t="shared" si="456"/>
        <v>142.27699999999999</v>
      </c>
      <c r="AJ513" s="865">
        <v>142.27699999999999</v>
      </c>
      <c r="AK513" s="866">
        <v>47.792999999999999</v>
      </c>
      <c r="AL513" s="866">
        <v>131.87799999999999</v>
      </c>
      <c r="AM513" s="866">
        <v>154.607</v>
      </c>
      <c r="AN513" s="867">
        <f t="shared" si="457"/>
        <v>163.846</v>
      </c>
      <c r="AO513" s="865">
        <v>163.846</v>
      </c>
      <c r="AP513" s="866">
        <v>62.008000000000003</v>
      </c>
      <c r="AQ513" s="866">
        <v>104.51600000000001</v>
      </c>
      <c r="AR513" s="866">
        <v>115.45699999999999</v>
      </c>
      <c r="AS513" s="867">
        <f t="shared" si="458"/>
        <v>193.24700000000001</v>
      </c>
      <c r="AT513" s="865">
        <v>193.24700000000001</v>
      </c>
      <c r="AU513" s="866">
        <v>22.279</v>
      </c>
      <c r="AV513" s="866">
        <v>69.372</v>
      </c>
      <c r="AW513" s="878">
        <v>64.64</v>
      </c>
      <c r="AX513" s="867">
        <f t="shared" si="459"/>
        <v>0</v>
      </c>
      <c r="AY513" s="864"/>
      <c r="AZ513" s="867"/>
      <c r="BA513" s="867"/>
      <c r="BB513" s="867"/>
      <c r="BC513" s="867">
        <f t="shared" si="460"/>
        <v>0</v>
      </c>
      <c r="BD513" s="864"/>
      <c r="BE513" s="864"/>
      <c r="BF513" s="864"/>
      <c r="BG513" s="864"/>
      <c r="BH513" s="821"/>
    </row>
    <row r="514" spans="1:60" customFormat="1" hidden="1" outlineLevel="1" x14ac:dyDescent="0.25">
      <c r="A514" s="113" t="s">
        <v>153</v>
      </c>
      <c r="B514" s="441"/>
      <c r="C514" s="886">
        <v>1.9059999999999999</v>
      </c>
      <c r="D514" s="886">
        <v>0.64500000000000002</v>
      </c>
      <c r="E514" s="886">
        <v>3.016</v>
      </c>
      <c r="F514" s="886">
        <v>4.7190000000000003</v>
      </c>
      <c r="G514" s="885">
        <v>8.4459999999999997</v>
      </c>
      <c r="H514" s="885">
        <v>15.557</v>
      </c>
      <c r="I514" s="885">
        <v>4.76</v>
      </c>
      <c r="J514" s="885">
        <v>-8.9770000000000003</v>
      </c>
      <c r="K514" s="886">
        <v>-8.9770000000000003</v>
      </c>
      <c r="L514" s="885">
        <v>7.2910000000000004</v>
      </c>
      <c r="M514" s="885">
        <v>10.423999999999999</v>
      </c>
      <c r="N514" s="885">
        <v>15.747</v>
      </c>
      <c r="O514" s="885">
        <v>-52.405999999999999</v>
      </c>
      <c r="P514" s="886">
        <v>-52.405999999999999</v>
      </c>
      <c r="Q514" s="885">
        <v>21.788</v>
      </c>
      <c r="R514" s="885">
        <v>21.155000000000001</v>
      </c>
      <c r="S514" s="885">
        <v>0.61499999999999999</v>
      </c>
      <c r="T514" s="885">
        <v>-18.366</v>
      </c>
      <c r="U514" s="886">
        <v>-18.366</v>
      </c>
      <c r="V514" s="885">
        <v>-29.536000000000001</v>
      </c>
      <c r="W514" s="885">
        <v>-32.539000000000001</v>
      </c>
      <c r="X514" s="885">
        <v>-43.603999999999999</v>
      </c>
      <c r="Y514" s="882">
        <f t="shared" si="454"/>
        <v>-52.293999999999997</v>
      </c>
      <c r="Z514" s="886">
        <v>-52.293999999999997</v>
      </c>
      <c r="AA514" s="885">
        <v>8.85</v>
      </c>
      <c r="AB514" s="885">
        <v>-32.597000000000001</v>
      </c>
      <c r="AC514" s="885">
        <v>-40.146000000000001</v>
      </c>
      <c r="AD514" s="882">
        <f t="shared" si="455"/>
        <v>-73.802999999999997</v>
      </c>
      <c r="AE514" s="886">
        <v>-73.802999999999997</v>
      </c>
      <c r="AF514" s="885">
        <v>13.83</v>
      </c>
      <c r="AG514" s="885">
        <v>54.411999999999999</v>
      </c>
      <c r="AH514" s="885">
        <v>28.803000000000001</v>
      </c>
      <c r="AI514" s="882">
        <f t="shared" si="456"/>
        <v>2.0619999999999998</v>
      </c>
      <c r="AJ514" s="886">
        <v>2.0619999999999998</v>
      </c>
      <c r="AK514" s="885">
        <v>-4.4859999999999998</v>
      </c>
      <c r="AL514" s="885">
        <v>-30.605</v>
      </c>
      <c r="AM514" s="885">
        <v>-75.528000000000006</v>
      </c>
      <c r="AN514" s="882">
        <f t="shared" si="457"/>
        <v>-122.53100000000001</v>
      </c>
      <c r="AO514" s="886">
        <v>-122.53100000000001</v>
      </c>
      <c r="AP514" s="885">
        <v>-41.445999999999998</v>
      </c>
      <c r="AQ514" s="885">
        <v>-80.248999999999995</v>
      </c>
      <c r="AR514" s="885">
        <v>-100.248</v>
      </c>
      <c r="AS514" s="882">
        <f t="shared" si="458"/>
        <v>-194.07499999999999</v>
      </c>
      <c r="AT514" s="886">
        <v>-194.07499999999999</v>
      </c>
      <c r="AU514" s="885">
        <v>-61.368000000000002</v>
      </c>
      <c r="AV514" s="885">
        <v>-133.911</v>
      </c>
      <c r="AW514" s="891">
        <v>-144.92500000000001</v>
      </c>
      <c r="AX514" s="882">
        <f t="shared" si="459"/>
        <v>0</v>
      </c>
      <c r="AY514" s="881"/>
      <c r="AZ514" s="882"/>
      <c r="BA514" s="882"/>
      <c r="BB514" s="882"/>
      <c r="BC514" s="882">
        <f t="shared" si="460"/>
        <v>0</v>
      </c>
      <c r="BD514" s="881"/>
      <c r="BE514" s="881"/>
      <c r="BF514" s="881"/>
      <c r="BG514" s="881"/>
      <c r="BH514" s="821"/>
    </row>
    <row r="515" spans="1:60" customFormat="1" hidden="1" outlineLevel="1" x14ac:dyDescent="0.25">
      <c r="A515" s="61" t="s">
        <v>154</v>
      </c>
      <c r="B515" s="505"/>
      <c r="C515" s="872">
        <f t="shared" ref="C515:AH515" si="461">SUM(C508:C514)</f>
        <v>325.06299999999993</v>
      </c>
      <c r="D515" s="872">
        <f t="shared" si="461"/>
        <v>276.40100000000001</v>
      </c>
      <c r="E515" s="872">
        <f t="shared" si="461"/>
        <v>317.71200000000022</v>
      </c>
      <c r="F515" s="872">
        <f t="shared" si="461"/>
        <v>21.586000000000197</v>
      </c>
      <c r="G515" s="871">
        <f t="shared" si="461"/>
        <v>-12.25000000000002</v>
      </c>
      <c r="H515" s="871">
        <f t="shared" si="461"/>
        <v>21.693000000000044</v>
      </c>
      <c r="I515" s="871">
        <f t="shared" si="461"/>
        <v>56.386000000000095</v>
      </c>
      <c r="J515" s="871">
        <f t="shared" si="461"/>
        <v>97.83100000000006</v>
      </c>
      <c r="K515" s="872">
        <f t="shared" si="461"/>
        <v>97.83100000000006</v>
      </c>
      <c r="L515" s="871">
        <f t="shared" si="461"/>
        <v>36.359000000000052</v>
      </c>
      <c r="M515" s="871">
        <f t="shared" si="461"/>
        <v>92.383000000000067</v>
      </c>
      <c r="N515" s="871">
        <f t="shared" si="461"/>
        <v>54.943999999999726</v>
      </c>
      <c r="O515" s="871">
        <f t="shared" si="461"/>
        <v>16.483000000000125</v>
      </c>
      <c r="P515" s="872">
        <f t="shared" si="461"/>
        <v>16.483000000000125</v>
      </c>
      <c r="Q515" s="871">
        <f t="shared" si="461"/>
        <v>-127.38199999999996</v>
      </c>
      <c r="R515" s="871">
        <f t="shared" si="461"/>
        <v>-308.72499999999991</v>
      </c>
      <c r="S515" s="871">
        <f t="shared" si="461"/>
        <v>-504.69400000000019</v>
      </c>
      <c r="T515" s="871">
        <f t="shared" si="461"/>
        <v>-749.43899999999985</v>
      </c>
      <c r="U515" s="872">
        <f t="shared" si="461"/>
        <v>-749.43899999999985</v>
      </c>
      <c r="V515" s="871">
        <f t="shared" si="461"/>
        <v>-228.5900000000004</v>
      </c>
      <c r="W515" s="871">
        <f t="shared" si="461"/>
        <v>-454.88299999999947</v>
      </c>
      <c r="X515" s="871">
        <f t="shared" si="461"/>
        <v>-916.82399999999973</v>
      </c>
      <c r="Y515" s="870">
        <f t="shared" si="461"/>
        <v>-1473.9840000000011</v>
      </c>
      <c r="Z515" s="869">
        <f t="shared" si="461"/>
        <v>-1473.9840000000011</v>
      </c>
      <c r="AA515" s="871">
        <f t="shared" si="461"/>
        <v>-343.85599999999988</v>
      </c>
      <c r="AB515" s="871">
        <f t="shared" si="461"/>
        <v>-878.38400000000047</v>
      </c>
      <c r="AC515" s="871">
        <f t="shared" si="461"/>
        <v>-1297.991</v>
      </c>
      <c r="AD515" s="870">
        <f t="shared" si="461"/>
        <v>-1785.9480000000012</v>
      </c>
      <c r="AE515" s="869">
        <f t="shared" si="461"/>
        <v>-1785.9480000000012</v>
      </c>
      <c r="AF515" s="871">
        <f t="shared" si="461"/>
        <v>-236.75699999999927</v>
      </c>
      <c r="AG515" s="871">
        <f t="shared" si="461"/>
        <v>-754.99599999999941</v>
      </c>
      <c r="AH515" s="871">
        <f t="shared" si="461"/>
        <v>-1445.4069999999995</v>
      </c>
      <c r="AI515" s="870">
        <f t="shared" ref="AI515:AY515" si="462">SUM(AI508:AI514)</f>
        <v>-2680.4790000000007</v>
      </c>
      <c r="AJ515" s="869">
        <f t="shared" si="462"/>
        <v>-2680.4790000000007</v>
      </c>
      <c r="AK515" s="871">
        <f t="shared" si="462"/>
        <v>-379.79899999999969</v>
      </c>
      <c r="AL515" s="871">
        <f t="shared" si="462"/>
        <v>-923.55300000000057</v>
      </c>
      <c r="AM515" s="871">
        <f t="shared" si="462"/>
        <v>-1425.3469999999993</v>
      </c>
      <c r="AN515" s="870">
        <f t="shared" si="462"/>
        <v>-2887.3220000000028</v>
      </c>
      <c r="AO515" s="869">
        <f t="shared" si="462"/>
        <v>-2887.3220000000028</v>
      </c>
      <c r="AP515" s="871">
        <f t="shared" si="462"/>
        <v>259.91200000000026</v>
      </c>
      <c r="AQ515" s="871">
        <f t="shared" si="462"/>
        <v>1300.9880000000001</v>
      </c>
      <c r="AR515" s="871">
        <f>SUM(AR508:AR514)</f>
        <v>2564.7490000000007</v>
      </c>
      <c r="AS515" s="870">
        <f>SUM(AS508:AS514)</f>
        <v>2427.0769999999998</v>
      </c>
      <c r="AT515" s="869">
        <f>SUM(AT508:AT514)</f>
        <v>2427.0769999999998</v>
      </c>
      <c r="AU515" s="871">
        <f t="shared" ref="AU515" si="463">SUM(AU508:AU514)</f>
        <v>777.26599999999974</v>
      </c>
      <c r="AV515" s="871">
        <f>SUM(AV508:AV514)</f>
        <v>713.50500000000034</v>
      </c>
      <c r="AW515" s="873">
        <f>SUM(AW508:AW514)</f>
        <v>795.88399999999933</v>
      </c>
      <c r="AX515" s="870">
        <f t="shared" si="462"/>
        <v>0</v>
      </c>
      <c r="AY515" s="869">
        <f t="shared" si="462"/>
        <v>0</v>
      </c>
      <c r="AZ515" s="870">
        <f t="shared" ref="AZ515:BG515" si="464">SUM(AZ508:AZ514)</f>
        <v>0</v>
      </c>
      <c r="BA515" s="870">
        <f t="shared" si="464"/>
        <v>0</v>
      </c>
      <c r="BB515" s="870">
        <f t="shared" si="464"/>
        <v>0</v>
      </c>
      <c r="BC515" s="870">
        <f t="shared" si="464"/>
        <v>0</v>
      </c>
      <c r="BD515" s="869">
        <f t="shared" si="464"/>
        <v>0</v>
      </c>
      <c r="BE515" s="869">
        <f t="shared" si="464"/>
        <v>0</v>
      </c>
      <c r="BF515" s="869">
        <f t="shared" si="464"/>
        <v>0</v>
      </c>
      <c r="BG515" s="869">
        <f t="shared" si="464"/>
        <v>0</v>
      </c>
      <c r="BH515" s="824"/>
    </row>
    <row r="516" spans="1:60" customFormat="1" hidden="1" outlineLevel="1" x14ac:dyDescent="0.25">
      <c r="A516" s="494"/>
      <c r="B516" s="423"/>
      <c r="C516" s="874"/>
      <c r="D516" s="874"/>
      <c r="E516" s="874"/>
      <c r="F516" s="874"/>
      <c r="G516" s="879"/>
      <c r="H516" s="879"/>
      <c r="I516" s="879"/>
      <c r="J516" s="879"/>
      <c r="K516" s="874"/>
      <c r="L516" s="879"/>
      <c r="M516" s="879"/>
      <c r="N516" s="879"/>
      <c r="O516" s="879"/>
      <c r="P516" s="874"/>
      <c r="Q516" s="879"/>
      <c r="R516" s="879"/>
      <c r="S516" s="879"/>
      <c r="T516" s="879"/>
      <c r="U516" s="874"/>
      <c r="V516" s="879"/>
      <c r="W516" s="879"/>
      <c r="X516" s="879"/>
      <c r="Y516" s="879"/>
      <c r="Z516" s="874"/>
      <c r="AA516" s="879"/>
      <c r="AB516" s="879"/>
      <c r="AC516" s="879"/>
      <c r="AD516" s="879"/>
      <c r="AE516" s="874"/>
      <c r="AF516" s="879"/>
      <c r="AG516" s="879"/>
      <c r="AH516" s="879"/>
      <c r="AI516" s="879"/>
      <c r="AJ516" s="874"/>
      <c r="AK516" s="879"/>
      <c r="AL516" s="879"/>
      <c r="AM516" s="879"/>
      <c r="AN516" s="879"/>
      <c r="AO516" s="874"/>
      <c r="AP516" s="879"/>
      <c r="AQ516" s="879"/>
      <c r="AR516" s="879"/>
      <c r="AS516" s="879"/>
      <c r="AT516" s="874"/>
      <c r="AU516" s="879"/>
      <c r="AV516" s="879"/>
      <c r="AW516" s="880"/>
      <c r="AX516" s="879"/>
      <c r="AY516" s="874"/>
      <c r="AZ516" s="879"/>
      <c r="BA516" s="879"/>
      <c r="BB516" s="879"/>
      <c r="BC516" s="879"/>
      <c r="BD516" s="874"/>
      <c r="BE516" s="874"/>
      <c r="BF516" s="874"/>
      <c r="BG516" s="874"/>
      <c r="BH516" s="824"/>
    </row>
    <row r="517" spans="1:60" customFormat="1" hidden="1" outlineLevel="1" x14ac:dyDescent="0.25">
      <c r="A517" s="63" t="s">
        <v>155</v>
      </c>
      <c r="B517" s="423"/>
      <c r="C517" s="874"/>
      <c r="D517" s="874"/>
      <c r="E517" s="874"/>
      <c r="F517" s="874"/>
      <c r="G517" s="879"/>
      <c r="H517" s="879"/>
      <c r="I517" s="879"/>
      <c r="J517" s="879"/>
      <c r="K517" s="874"/>
      <c r="L517" s="879"/>
      <c r="M517" s="879"/>
      <c r="N517" s="879"/>
      <c r="O517" s="879"/>
      <c r="P517" s="874"/>
      <c r="Q517" s="879"/>
      <c r="R517" s="879"/>
      <c r="S517" s="879"/>
      <c r="T517" s="879"/>
      <c r="U517" s="874"/>
      <c r="V517" s="879"/>
      <c r="W517" s="879"/>
      <c r="X517" s="879"/>
      <c r="Y517" s="879"/>
      <c r="Z517" s="874"/>
      <c r="AA517" s="879"/>
      <c r="AB517" s="879"/>
      <c r="AC517" s="879"/>
      <c r="AD517" s="879"/>
      <c r="AE517" s="874"/>
      <c r="AF517" s="879"/>
      <c r="AG517" s="879"/>
      <c r="AH517" s="879"/>
      <c r="AI517" s="879"/>
      <c r="AJ517" s="874"/>
      <c r="AK517" s="879"/>
      <c r="AL517" s="879"/>
      <c r="AM517" s="879"/>
      <c r="AN517" s="879"/>
      <c r="AO517" s="874"/>
      <c r="AP517" s="879"/>
      <c r="AQ517" s="879"/>
      <c r="AR517" s="879"/>
      <c r="AS517" s="879"/>
      <c r="AT517" s="874"/>
      <c r="AU517" s="879"/>
      <c r="AV517" s="879"/>
      <c r="AW517" s="880"/>
      <c r="AX517" s="879"/>
      <c r="AY517" s="874"/>
      <c r="AZ517" s="879"/>
      <c r="BA517" s="879"/>
      <c r="BB517" s="879"/>
      <c r="BC517" s="879"/>
      <c r="BD517" s="874"/>
      <c r="BE517" s="874"/>
      <c r="BF517" s="874"/>
      <c r="BG517" s="874"/>
      <c r="BH517" s="824"/>
    </row>
    <row r="518" spans="1:60" customFormat="1" hidden="1" outlineLevel="1" x14ac:dyDescent="0.25">
      <c r="A518" s="367" t="s">
        <v>156</v>
      </c>
      <c r="B518" s="289"/>
      <c r="C518" s="865">
        <v>-193.04400000000001</v>
      </c>
      <c r="D518" s="865">
        <v>-123.901</v>
      </c>
      <c r="E518" s="865">
        <v>-85.153999999999996</v>
      </c>
      <c r="F518" s="865">
        <v>-48.274999999999999</v>
      </c>
      <c r="G518" s="866">
        <v>-21.193000000000001</v>
      </c>
      <c r="H518" s="866">
        <v>-35.216000000000001</v>
      </c>
      <c r="I518" s="866">
        <v>-50.686999999999998</v>
      </c>
      <c r="J518" s="866">
        <v>-65.927000000000007</v>
      </c>
      <c r="K518" s="865">
        <v>-65.927000000000007</v>
      </c>
      <c r="L518" s="866">
        <v>-14.914</v>
      </c>
      <c r="M518" s="866">
        <v>-35.895000000000003</v>
      </c>
      <c r="N518" s="866">
        <v>-51.424999999999997</v>
      </c>
      <c r="O518" s="866">
        <v>-74.790000000000006</v>
      </c>
      <c r="P518" s="865">
        <v>-74.790000000000006</v>
      </c>
      <c r="Q518" s="866">
        <v>-22.905999999999999</v>
      </c>
      <c r="R518" s="866">
        <v>-42.692</v>
      </c>
      <c r="S518" s="866">
        <v>-57.158999999999999</v>
      </c>
      <c r="T518" s="866">
        <v>-77.957999999999998</v>
      </c>
      <c r="U518" s="865">
        <v>-77.957999999999998</v>
      </c>
      <c r="V518" s="866">
        <v>-23.207000000000001</v>
      </c>
      <c r="W518" s="866">
        <v>-41.131</v>
      </c>
      <c r="X518" s="866">
        <v>-58.38</v>
      </c>
      <c r="Y518" s="867">
        <f t="shared" ref="Y518:Y523" si="465">Z518</f>
        <v>-77.177000000000007</v>
      </c>
      <c r="Z518" s="865">
        <v>-77.177000000000007</v>
      </c>
      <c r="AA518" s="866">
        <v>-25.372</v>
      </c>
      <c r="AB518" s="866">
        <v>-32.996000000000002</v>
      </c>
      <c r="AC518" s="866">
        <v>-43.213000000000001</v>
      </c>
      <c r="AD518" s="867">
        <f t="shared" ref="AD518:AD523" si="466">AE518</f>
        <v>-53.72</v>
      </c>
      <c r="AE518" s="865">
        <v>-53.72</v>
      </c>
      <c r="AF518" s="866">
        <v>-10.795999999999999</v>
      </c>
      <c r="AG518" s="866">
        <v>-23.347999999999999</v>
      </c>
      <c r="AH518" s="866">
        <v>-31.079000000000001</v>
      </c>
      <c r="AI518" s="867">
        <f t="shared" ref="AI518:AI523" si="467">AJ518</f>
        <v>-38.585999999999999</v>
      </c>
      <c r="AJ518" s="865">
        <v>-38.585999999999999</v>
      </c>
      <c r="AK518" s="866">
        <v>-9.17</v>
      </c>
      <c r="AL518" s="866">
        <v>-16.968</v>
      </c>
      <c r="AM518" s="866">
        <v>-21.602</v>
      </c>
      <c r="AN518" s="867">
        <f t="shared" ref="AN518:AN523" si="468">AO518</f>
        <v>0</v>
      </c>
      <c r="AO518" s="865">
        <v>0</v>
      </c>
      <c r="AP518" s="867"/>
      <c r="AQ518" s="867"/>
      <c r="AR518" s="867"/>
      <c r="AS518" s="867">
        <f t="shared" ref="AS518:AS523" si="469">AT518</f>
        <v>0</v>
      </c>
      <c r="AT518" s="864"/>
      <c r="AU518" s="867"/>
      <c r="AV518" s="867"/>
      <c r="AW518" s="868"/>
      <c r="AX518" s="867">
        <f t="shared" ref="AX518:AX523" si="470">AY518</f>
        <v>0</v>
      </c>
      <c r="AY518" s="864"/>
      <c r="AZ518" s="867"/>
      <c r="BA518" s="867"/>
      <c r="BB518" s="867"/>
      <c r="BC518" s="867">
        <f t="shared" ref="BC518:BC523" si="471">BD518</f>
        <v>0</v>
      </c>
      <c r="BD518" s="864"/>
      <c r="BE518" s="864"/>
      <c r="BF518" s="864"/>
      <c r="BG518" s="864"/>
      <c r="BH518" s="821"/>
    </row>
    <row r="519" spans="1:60" customFormat="1" hidden="1" outlineLevel="1" x14ac:dyDescent="0.25">
      <c r="A519" s="367" t="s">
        <v>157</v>
      </c>
      <c r="B519" s="289"/>
      <c r="C519" s="865">
        <v>-45.932000000000002</v>
      </c>
      <c r="D519" s="865">
        <v>-33.837000000000003</v>
      </c>
      <c r="E519" s="865">
        <v>-49.682000000000002</v>
      </c>
      <c r="F519" s="865">
        <v>-40.277999999999999</v>
      </c>
      <c r="G519" s="866">
        <v>-12.118</v>
      </c>
      <c r="H519" s="866">
        <v>-20.206</v>
      </c>
      <c r="I519" s="866">
        <v>-31.033999999999999</v>
      </c>
      <c r="J519" s="866">
        <v>-54.143000000000001</v>
      </c>
      <c r="K519" s="865">
        <v>-54.143000000000001</v>
      </c>
      <c r="L519" s="866">
        <v>-13.334</v>
      </c>
      <c r="M519" s="866">
        <v>-33.203000000000003</v>
      </c>
      <c r="N519" s="866">
        <v>-54.234999999999999</v>
      </c>
      <c r="O519" s="866">
        <v>-69.725999999999999</v>
      </c>
      <c r="P519" s="865">
        <v>-69.725999999999999</v>
      </c>
      <c r="Q519" s="866">
        <v>-13.036</v>
      </c>
      <c r="R519" s="866">
        <v>-40.573999999999998</v>
      </c>
      <c r="S519" s="866">
        <v>-78.394000000000005</v>
      </c>
      <c r="T519" s="866">
        <v>-91.248000000000005</v>
      </c>
      <c r="U519" s="865">
        <v>-91.248000000000005</v>
      </c>
      <c r="V519" s="866">
        <v>-8.4250000000000007</v>
      </c>
      <c r="W519" s="866">
        <v>-19.239000000000001</v>
      </c>
      <c r="X519" s="866">
        <v>-46.604999999999997</v>
      </c>
      <c r="Y519" s="867">
        <f t="shared" si="465"/>
        <v>-107.65300000000001</v>
      </c>
      <c r="Z519" s="865">
        <v>-107.65300000000001</v>
      </c>
      <c r="AA519" s="866">
        <v>-52.523000000000003</v>
      </c>
      <c r="AB519" s="866">
        <v>-117.754</v>
      </c>
      <c r="AC519" s="866">
        <v>-151.71700000000001</v>
      </c>
      <c r="AD519" s="867">
        <f t="shared" si="466"/>
        <v>-173.30199999999999</v>
      </c>
      <c r="AE519" s="865">
        <v>-173.30199999999999</v>
      </c>
      <c r="AF519" s="866">
        <v>-37.17</v>
      </c>
      <c r="AG519" s="866">
        <v>-64.492999999999995</v>
      </c>
      <c r="AH519" s="866">
        <v>-103.82599999999999</v>
      </c>
      <c r="AI519" s="867">
        <f t="shared" si="467"/>
        <v>-173.946</v>
      </c>
      <c r="AJ519" s="865">
        <v>-173.946</v>
      </c>
      <c r="AK519" s="866">
        <v>-60.381</v>
      </c>
      <c r="AL519" s="866">
        <v>-99.965000000000003</v>
      </c>
      <c r="AM519" s="866">
        <v>-145.298</v>
      </c>
      <c r="AN519" s="867">
        <f t="shared" si="468"/>
        <v>-253.035</v>
      </c>
      <c r="AO519" s="865">
        <v>-253.035</v>
      </c>
      <c r="AP519" s="866">
        <v>-98.015000000000001</v>
      </c>
      <c r="AQ519" s="866">
        <v>-239.756</v>
      </c>
      <c r="AR519" s="866">
        <v>-349.56700000000001</v>
      </c>
      <c r="AS519" s="867">
        <f t="shared" si="469"/>
        <v>-497.923</v>
      </c>
      <c r="AT519" s="865">
        <v>-497.923</v>
      </c>
      <c r="AU519" s="866">
        <v>-81.001000000000005</v>
      </c>
      <c r="AV519" s="866">
        <v>-191.279</v>
      </c>
      <c r="AW519" s="878">
        <v>-358.60599999999999</v>
      </c>
      <c r="AX519" s="867">
        <f t="shared" si="470"/>
        <v>0</v>
      </c>
      <c r="AY519" s="864"/>
      <c r="AZ519" s="867"/>
      <c r="BA519" s="867"/>
      <c r="BB519" s="867"/>
      <c r="BC519" s="867">
        <f t="shared" si="471"/>
        <v>0</v>
      </c>
      <c r="BD519" s="864"/>
      <c r="BE519" s="864"/>
      <c r="BF519" s="864"/>
      <c r="BG519" s="864"/>
      <c r="BH519" s="821"/>
    </row>
    <row r="520" spans="1:60" customFormat="1" hidden="1" outlineLevel="1" x14ac:dyDescent="0.25">
      <c r="A520" s="367" t="s">
        <v>158</v>
      </c>
      <c r="B520" s="289"/>
      <c r="C520" s="865">
        <v>11.164</v>
      </c>
      <c r="D520" s="865">
        <v>0</v>
      </c>
      <c r="E520" s="865">
        <v>0</v>
      </c>
      <c r="F520" s="865">
        <v>0</v>
      </c>
      <c r="G520" s="866">
        <v>0</v>
      </c>
      <c r="H520" s="866">
        <v>0</v>
      </c>
      <c r="I520" s="866">
        <v>0</v>
      </c>
      <c r="J520" s="866">
        <v>0</v>
      </c>
      <c r="K520" s="865">
        <v>0</v>
      </c>
      <c r="L520" s="866">
        <v>0</v>
      </c>
      <c r="M520" s="866">
        <v>0</v>
      </c>
      <c r="N520" s="866">
        <v>0</v>
      </c>
      <c r="O520" s="866">
        <v>0</v>
      </c>
      <c r="P520" s="865">
        <v>0</v>
      </c>
      <c r="Q520" s="866">
        <v>0</v>
      </c>
      <c r="R520" s="866">
        <v>0</v>
      </c>
      <c r="S520" s="866">
        <v>0</v>
      </c>
      <c r="T520" s="866">
        <v>0</v>
      </c>
      <c r="U520" s="865">
        <v>0</v>
      </c>
      <c r="V520" s="867"/>
      <c r="W520" s="867"/>
      <c r="X520" s="867"/>
      <c r="Y520" s="867">
        <f t="shared" si="465"/>
        <v>0</v>
      </c>
      <c r="Z520" s="864"/>
      <c r="AA520" s="867"/>
      <c r="AB520" s="867"/>
      <c r="AC520" s="867"/>
      <c r="AD520" s="867">
        <f t="shared" si="466"/>
        <v>0</v>
      </c>
      <c r="AE520" s="864"/>
      <c r="AF520" s="867"/>
      <c r="AG520" s="867"/>
      <c r="AH520" s="867"/>
      <c r="AI520" s="867">
        <f t="shared" si="467"/>
        <v>0</v>
      </c>
      <c r="AJ520" s="864"/>
      <c r="AK520" s="867"/>
      <c r="AL520" s="867"/>
      <c r="AM520" s="867"/>
      <c r="AN520" s="867">
        <f t="shared" si="468"/>
        <v>0</v>
      </c>
      <c r="AO520" s="864"/>
      <c r="AP520" s="867"/>
      <c r="AQ520" s="867"/>
      <c r="AR520" s="867"/>
      <c r="AS520" s="867">
        <f t="shared" si="469"/>
        <v>0</v>
      </c>
      <c r="AT520" s="864"/>
      <c r="AU520" s="867"/>
      <c r="AV520" s="867"/>
      <c r="AW520" s="868"/>
      <c r="AX520" s="867">
        <f t="shared" si="470"/>
        <v>0</v>
      </c>
      <c r="AY520" s="864"/>
      <c r="AZ520" s="867"/>
      <c r="BA520" s="867"/>
      <c r="BB520" s="867"/>
      <c r="BC520" s="867">
        <f t="shared" si="471"/>
        <v>0</v>
      </c>
      <c r="BD520" s="864"/>
      <c r="BE520" s="864"/>
      <c r="BF520" s="864"/>
      <c r="BG520" s="864"/>
      <c r="BH520" s="821"/>
    </row>
    <row r="521" spans="1:60" customFormat="1" hidden="1" outlineLevel="1" x14ac:dyDescent="0.25">
      <c r="A521" s="367" t="s">
        <v>159</v>
      </c>
      <c r="B521" s="289"/>
      <c r="C521" s="865">
        <v>-0.2</v>
      </c>
      <c r="D521" s="865">
        <v>0</v>
      </c>
      <c r="E521" s="865">
        <v>0</v>
      </c>
      <c r="F521" s="865">
        <v>0</v>
      </c>
      <c r="G521" s="866">
        <v>0</v>
      </c>
      <c r="H521" s="866">
        <v>0</v>
      </c>
      <c r="I521" s="866">
        <v>0</v>
      </c>
      <c r="J521" s="866">
        <v>0</v>
      </c>
      <c r="K521" s="865">
        <v>0</v>
      </c>
      <c r="L521" s="866">
        <v>0</v>
      </c>
      <c r="M521" s="866">
        <v>0</v>
      </c>
      <c r="N521" s="866">
        <v>0</v>
      </c>
      <c r="O521" s="866">
        <v>0</v>
      </c>
      <c r="P521" s="865">
        <v>0</v>
      </c>
      <c r="Q521" s="866">
        <v>0</v>
      </c>
      <c r="R521" s="866">
        <v>0</v>
      </c>
      <c r="S521" s="866">
        <v>0</v>
      </c>
      <c r="T521" s="866">
        <v>0</v>
      </c>
      <c r="U521" s="865">
        <v>0</v>
      </c>
      <c r="V521" s="867"/>
      <c r="W521" s="867"/>
      <c r="X521" s="867"/>
      <c r="Y521" s="867">
        <f t="shared" si="465"/>
        <v>0</v>
      </c>
      <c r="Z521" s="864"/>
      <c r="AA521" s="867"/>
      <c r="AB521" s="867"/>
      <c r="AC521" s="867"/>
      <c r="AD521" s="867">
        <f t="shared" si="466"/>
        <v>0</v>
      </c>
      <c r="AE521" s="864"/>
      <c r="AF521" s="867"/>
      <c r="AG521" s="867"/>
      <c r="AH521" s="867"/>
      <c r="AI521" s="867">
        <f t="shared" si="467"/>
        <v>0</v>
      </c>
      <c r="AJ521" s="864"/>
      <c r="AK521" s="867"/>
      <c r="AL521" s="867"/>
      <c r="AM521" s="867"/>
      <c r="AN521" s="867">
        <f t="shared" si="468"/>
        <v>0</v>
      </c>
      <c r="AO521" s="864"/>
      <c r="AP521" s="867"/>
      <c r="AQ521" s="867"/>
      <c r="AR521" s="867"/>
      <c r="AS521" s="867">
        <f t="shared" si="469"/>
        <v>0</v>
      </c>
      <c r="AT521" s="864"/>
      <c r="AU521" s="867"/>
      <c r="AV521" s="867"/>
      <c r="AW521" s="868"/>
      <c r="AX521" s="867">
        <f t="shared" si="470"/>
        <v>0</v>
      </c>
      <c r="AY521" s="864"/>
      <c r="AZ521" s="867"/>
      <c r="BA521" s="867"/>
      <c r="BB521" s="867"/>
      <c r="BC521" s="867">
        <f t="shared" si="471"/>
        <v>0</v>
      </c>
      <c r="BD521" s="864"/>
      <c r="BE521" s="864"/>
      <c r="BF521" s="864"/>
      <c r="BG521" s="864"/>
      <c r="BH521" s="821"/>
    </row>
    <row r="522" spans="1:60" customFormat="1" hidden="1" outlineLevel="1" x14ac:dyDescent="0.25">
      <c r="A522" s="367" t="s">
        <v>160</v>
      </c>
      <c r="B522" s="289"/>
      <c r="C522" s="865">
        <v>7.4829999999999997</v>
      </c>
      <c r="D522" s="865">
        <v>0</v>
      </c>
      <c r="E522" s="865">
        <v>0</v>
      </c>
      <c r="F522" s="865">
        <v>0</v>
      </c>
      <c r="G522" s="866">
        <v>0</v>
      </c>
      <c r="H522" s="866">
        <v>0</v>
      </c>
      <c r="I522" s="866">
        <v>0</v>
      </c>
      <c r="J522" s="866">
        <v>0</v>
      </c>
      <c r="K522" s="865">
        <v>0</v>
      </c>
      <c r="L522" s="866">
        <v>0</v>
      </c>
      <c r="M522" s="866">
        <v>0</v>
      </c>
      <c r="N522" s="866">
        <v>0</v>
      </c>
      <c r="O522" s="866">
        <v>0</v>
      </c>
      <c r="P522" s="865">
        <v>0</v>
      </c>
      <c r="Q522" s="866">
        <v>0</v>
      </c>
      <c r="R522" s="866">
        <v>0</v>
      </c>
      <c r="S522" s="866">
        <v>0</v>
      </c>
      <c r="T522" s="866">
        <v>0</v>
      </c>
      <c r="U522" s="865">
        <v>0</v>
      </c>
      <c r="V522" s="867"/>
      <c r="W522" s="867"/>
      <c r="X522" s="867"/>
      <c r="Y522" s="867">
        <f t="shared" si="465"/>
        <v>0</v>
      </c>
      <c r="Z522" s="864"/>
      <c r="AA522" s="867"/>
      <c r="AB522" s="867"/>
      <c r="AC522" s="867"/>
      <c r="AD522" s="867">
        <f t="shared" si="466"/>
        <v>0</v>
      </c>
      <c r="AE522" s="864"/>
      <c r="AF522" s="867"/>
      <c r="AG522" s="867"/>
      <c r="AH522" s="867"/>
      <c r="AI522" s="867">
        <f t="shared" si="467"/>
        <v>0</v>
      </c>
      <c r="AJ522" s="864"/>
      <c r="AK522" s="867"/>
      <c r="AL522" s="867"/>
      <c r="AM522" s="867"/>
      <c r="AN522" s="867">
        <f t="shared" si="468"/>
        <v>0</v>
      </c>
      <c r="AO522" s="864"/>
      <c r="AP522" s="867"/>
      <c r="AQ522" s="867"/>
      <c r="AR522" s="867"/>
      <c r="AS522" s="867">
        <f t="shared" si="469"/>
        <v>0</v>
      </c>
      <c r="AT522" s="864"/>
      <c r="AU522" s="867"/>
      <c r="AV522" s="867"/>
      <c r="AW522" s="868"/>
      <c r="AX522" s="867">
        <f t="shared" si="470"/>
        <v>0</v>
      </c>
      <c r="AY522" s="864"/>
      <c r="AZ522" s="867"/>
      <c r="BA522" s="867"/>
      <c r="BB522" s="867"/>
      <c r="BC522" s="867">
        <f t="shared" si="471"/>
        <v>0</v>
      </c>
      <c r="BD522" s="864"/>
      <c r="BE522" s="864"/>
      <c r="BF522" s="864"/>
      <c r="BG522" s="864"/>
      <c r="BH522" s="821"/>
    </row>
    <row r="523" spans="1:60" customFormat="1" hidden="1" outlineLevel="1" x14ac:dyDescent="0.25">
      <c r="A523" s="367" t="s">
        <v>161</v>
      </c>
      <c r="B523" s="289"/>
      <c r="C523" s="865">
        <v>7.0999999999999994E-2</v>
      </c>
      <c r="D523" s="865">
        <v>12.343999999999999</v>
      </c>
      <c r="E523" s="865">
        <v>3.6739999999999999</v>
      </c>
      <c r="F523" s="865">
        <v>8.8160000000000007</v>
      </c>
      <c r="G523" s="866">
        <v>4.05</v>
      </c>
      <c r="H523" s="866">
        <v>5.1369999999999996</v>
      </c>
      <c r="I523" s="866">
        <v>3.8079999999999998</v>
      </c>
      <c r="J523" s="866">
        <v>5.9390000000000001</v>
      </c>
      <c r="K523" s="865">
        <v>5.9390000000000001</v>
      </c>
      <c r="L523" s="866">
        <v>0.29499999999999998</v>
      </c>
      <c r="M523" s="866">
        <v>1.4239999999999999</v>
      </c>
      <c r="N523" s="866">
        <v>1.7649999999999999</v>
      </c>
      <c r="O523" s="866">
        <v>1.3340000000000001</v>
      </c>
      <c r="P523" s="865">
        <v>1.3340000000000001</v>
      </c>
      <c r="Q523" s="866">
        <v>0.22500000000000001</v>
      </c>
      <c r="R523" s="866">
        <v>-0.41399999999999998</v>
      </c>
      <c r="S523" s="866">
        <v>-4.1740000000000004</v>
      </c>
      <c r="T523" s="866">
        <v>-1.9119999999999999</v>
      </c>
      <c r="U523" s="865">
        <v>-1.9119999999999999</v>
      </c>
      <c r="V523" s="866">
        <v>-0.35599999999999998</v>
      </c>
      <c r="W523" s="866">
        <v>0.55100000000000005</v>
      </c>
      <c r="X523" s="866">
        <v>0.67600000000000005</v>
      </c>
      <c r="Y523" s="867">
        <f t="shared" si="465"/>
        <v>-0.94099999999999995</v>
      </c>
      <c r="Z523" s="865">
        <v>-0.94099999999999995</v>
      </c>
      <c r="AA523" s="866">
        <v>-0.76900000000000002</v>
      </c>
      <c r="AB523" s="866">
        <v>-1.833</v>
      </c>
      <c r="AC523" s="866">
        <v>-2.94</v>
      </c>
      <c r="AD523" s="867">
        <f t="shared" si="466"/>
        <v>-6.6890000000000001</v>
      </c>
      <c r="AE523" s="865">
        <v>-6.6890000000000001</v>
      </c>
      <c r="AF523" s="866">
        <v>-1.786</v>
      </c>
      <c r="AG523" s="866">
        <v>-2.2269999999999999</v>
      </c>
      <c r="AH523" s="866">
        <v>-123.857</v>
      </c>
      <c r="AI523" s="867">
        <f t="shared" si="467"/>
        <v>-126.58799999999999</v>
      </c>
      <c r="AJ523" s="865">
        <v>-126.58799999999999</v>
      </c>
      <c r="AK523" s="866">
        <v>-10.552</v>
      </c>
      <c r="AL523" s="866">
        <v>-13.206</v>
      </c>
      <c r="AM523" s="866">
        <v>-12.593</v>
      </c>
      <c r="AN523" s="867">
        <f t="shared" si="468"/>
        <v>-134.029</v>
      </c>
      <c r="AO523" s="865">
        <v>-134.029</v>
      </c>
      <c r="AP523" s="866">
        <v>-0.28799999999999998</v>
      </c>
      <c r="AQ523" s="866">
        <v>-0.54800000000000004</v>
      </c>
      <c r="AR523" s="866">
        <v>-9.3879999999999999</v>
      </c>
      <c r="AS523" s="867">
        <f t="shared" si="469"/>
        <v>-7.431</v>
      </c>
      <c r="AT523" s="865">
        <v>-7.431</v>
      </c>
      <c r="AU523" s="866">
        <v>-4.6150000000000002</v>
      </c>
      <c r="AV523" s="866">
        <v>-5.6150000000000002</v>
      </c>
      <c r="AW523" s="878">
        <v>-26.919</v>
      </c>
      <c r="AX523" s="867">
        <f t="shared" si="470"/>
        <v>0</v>
      </c>
      <c r="AY523" s="864"/>
      <c r="AZ523" s="867"/>
      <c r="BA523" s="867"/>
      <c r="BB523" s="867"/>
      <c r="BC523" s="867">
        <f t="shared" si="471"/>
        <v>0</v>
      </c>
      <c r="BD523" s="864"/>
      <c r="BE523" s="864"/>
      <c r="BF523" s="864"/>
      <c r="BG523" s="864"/>
      <c r="BH523" s="821"/>
    </row>
    <row r="524" spans="1:60" customFormat="1" hidden="1" outlineLevel="1" x14ac:dyDescent="0.25">
      <c r="A524" s="367" t="s">
        <v>162</v>
      </c>
      <c r="B524" s="289"/>
      <c r="C524" s="864"/>
      <c r="D524" s="864"/>
      <c r="E524" s="864"/>
      <c r="F524" s="864"/>
      <c r="G524" s="867"/>
      <c r="H524" s="867"/>
      <c r="I524" s="867"/>
      <c r="J524" s="867"/>
      <c r="K524" s="864"/>
      <c r="L524" s="867"/>
      <c r="M524" s="867"/>
      <c r="N524" s="867"/>
      <c r="O524" s="867"/>
      <c r="P524" s="864"/>
      <c r="Q524" s="867"/>
      <c r="R524" s="867"/>
      <c r="S524" s="867"/>
      <c r="T524" s="867"/>
      <c r="U524" s="864"/>
      <c r="V524" s="867"/>
      <c r="W524" s="867"/>
      <c r="X524" s="867"/>
      <c r="Y524" s="867"/>
      <c r="Z524" s="864"/>
      <c r="AA524" s="867"/>
      <c r="AB524" s="867"/>
      <c r="AC524" s="867"/>
      <c r="AD524" s="867"/>
      <c r="AE524" s="864"/>
      <c r="AF524" s="867"/>
      <c r="AG524" s="867"/>
      <c r="AH524" s="867"/>
      <c r="AI524" s="867"/>
      <c r="AJ524" s="864"/>
      <c r="AK524" s="867"/>
      <c r="AL524" s="867"/>
      <c r="AM524" s="867"/>
      <c r="AN524" s="867"/>
      <c r="AO524" s="864"/>
      <c r="AP524" s="867"/>
      <c r="AQ524" s="867"/>
      <c r="AR524" s="867"/>
      <c r="AS524" s="867"/>
      <c r="AT524" s="864"/>
      <c r="AU524" s="867"/>
      <c r="AV524" s="867"/>
      <c r="AW524" s="868"/>
      <c r="AX524" s="867"/>
      <c r="AY524" s="864"/>
      <c r="AZ524" s="867"/>
      <c r="BA524" s="867"/>
      <c r="BB524" s="867"/>
      <c r="BC524" s="867"/>
      <c r="BD524" s="864"/>
      <c r="BE524" s="864"/>
      <c r="BF524" s="864"/>
      <c r="BG524" s="864"/>
      <c r="BH524" s="821"/>
    </row>
    <row r="525" spans="1:60" customFormat="1" hidden="1" outlineLevel="1" x14ac:dyDescent="0.25">
      <c r="A525" s="367" t="s">
        <v>163</v>
      </c>
      <c r="B525" s="289"/>
      <c r="C525" s="865">
        <v>-228</v>
      </c>
      <c r="D525" s="865">
        <v>-107.36199999999999</v>
      </c>
      <c r="E525" s="865">
        <v>-223.75</v>
      </c>
      <c r="F525" s="865">
        <v>-477.32100000000003</v>
      </c>
      <c r="G525" s="866">
        <v>-235.62299999999999</v>
      </c>
      <c r="H525" s="866">
        <v>-381.673</v>
      </c>
      <c r="I525" s="866">
        <v>-497.78899999999999</v>
      </c>
      <c r="J525" s="866">
        <v>-550.26400000000001</v>
      </c>
      <c r="K525" s="865">
        <v>-550.26400000000001</v>
      </c>
      <c r="L525" s="866">
        <v>-60.545999999999999</v>
      </c>
      <c r="M525" s="866">
        <v>-231.45400000000001</v>
      </c>
      <c r="N525" s="866">
        <v>-355.33699999999999</v>
      </c>
      <c r="O525" s="866">
        <v>-426.93400000000003</v>
      </c>
      <c r="P525" s="865">
        <v>-426.93400000000003</v>
      </c>
      <c r="Q525" s="866">
        <v>-90.94</v>
      </c>
      <c r="R525" s="866">
        <v>-158.88900000000001</v>
      </c>
      <c r="S525" s="866">
        <v>-225.333</v>
      </c>
      <c r="T525" s="866">
        <v>-371.91500000000002</v>
      </c>
      <c r="U525" s="865">
        <v>-371.91500000000002</v>
      </c>
      <c r="V525" s="866">
        <v>-34.962000000000003</v>
      </c>
      <c r="W525" s="866">
        <v>-53.454000000000001</v>
      </c>
      <c r="X525" s="866">
        <v>-181.59</v>
      </c>
      <c r="Y525" s="867">
        <f>Z525</f>
        <v>-187.19300000000001</v>
      </c>
      <c r="Z525" s="865">
        <v>-187.19300000000001</v>
      </c>
      <c r="AA525" s="866">
        <v>-57.774000000000001</v>
      </c>
      <c r="AB525" s="866">
        <v>-72.02</v>
      </c>
      <c r="AC525" s="866">
        <v>-74.819000000000003</v>
      </c>
      <c r="AD525" s="867">
        <f>AE525</f>
        <v>-74.819000000000003</v>
      </c>
      <c r="AE525" s="865">
        <v>-74.819000000000003</v>
      </c>
      <c r="AF525" s="867"/>
      <c r="AG525" s="867"/>
      <c r="AH525" s="866">
        <v>0</v>
      </c>
      <c r="AI525" s="867">
        <f>AJ525</f>
        <v>0</v>
      </c>
      <c r="AJ525" s="865">
        <v>0</v>
      </c>
      <c r="AK525" s="867"/>
      <c r="AL525" s="867"/>
      <c r="AM525" s="867"/>
      <c r="AN525" s="867">
        <f>AO525</f>
        <v>0</v>
      </c>
      <c r="AO525" s="864"/>
      <c r="AP525" s="867"/>
      <c r="AQ525" s="867"/>
      <c r="AR525" s="867"/>
      <c r="AS525" s="867">
        <f>AT525</f>
        <v>0</v>
      </c>
      <c r="AT525" s="864"/>
      <c r="AU525" s="867"/>
      <c r="AV525" s="867"/>
      <c r="AW525" s="868"/>
      <c r="AX525" s="867">
        <f>AY525</f>
        <v>0</v>
      </c>
      <c r="AY525" s="864"/>
      <c r="AZ525" s="867"/>
      <c r="BA525" s="867"/>
      <c r="BB525" s="867"/>
      <c r="BC525" s="867">
        <f>BD525</f>
        <v>0</v>
      </c>
      <c r="BD525" s="864"/>
      <c r="BE525" s="864"/>
      <c r="BF525" s="864"/>
      <c r="BG525" s="864"/>
      <c r="BH525" s="821"/>
    </row>
    <row r="526" spans="1:60" customFormat="1" hidden="1" outlineLevel="1" x14ac:dyDescent="0.25">
      <c r="A526" s="367" t="s">
        <v>164</v>
      </c>
      <c r="B526" s="289"/>
      <c r="C526" s="865">
        <v>166.70599999999999</v>
      </c>
      <c r="D526" s="865">
        <v>120.857</v>
      </c>
      <c r="E526" s="865">
        <v>50.993000000000002</v>
      </c>
      <c r="F526" s="865">
        <v>282.95299999999997</v>
      </c>
      <c r="G526" s="866">
        <v>81.227999999999994</v>
      </c>
      <c r="H526" s="866">
        <v>115.20699999999999</v>
      </c>
      <c r="I526" s="866">
        <v>196.392</v>
      </c>
      <c r="J526" s="866">
        <v>347.50200000000001</v>
      </c>
      <c r="K526" s="865">
        <v>347.50200000000001</v>
      </c>
      <c r="L526" s="866">
        <v>143.048</v>
      </c>
      <c r="M526" s="866">
        <v>232.71</v>
      </c>
      <c r="N526" s="866">
        <v>340.27800000000002</v>
      </c>
      <c r="O526" s="866">
        <v>385.3</v>
      </c>
      <c r="P526" s="865">
        <v>385.3</v>
      </c>
      <c r="Q526" s="866">
        <v>51.948</v>
      </c>
      <c r="R526" s="866">
        <v>100.36</v>
      </c>
      <c r="S526" s="866">
        <v>144.24700000000001</v>
      </c>
      <c r="T526" s="866">
        <v>259.07900000000001</v>
      </c>
      <c r="U526" s="865">
        <v>259.07900000000001</v>
      </c>
      <c r="V526" s="866">
        <v>8.1880000000000006</v>
      </c>
      <c r="W526" s="866">
        <v>26.94</v>
      </c>
      <c r="X526" s="866">
        <v>198.68700000000001</v>
      </c>
      <c r="Y526" s="867">
        <f>Z526</f>
        <v>282.48399999999998</v>
      </c>
      <c r="Z526" s="865">
        <v>282.48399999999998</v>
      </c>
      <c r="AA526" s="866">
        <v>55.747999999999998</v>
      </c>
      <c r="AB526" s="866">
        <v>69.876000000000005</v>
      </c>
      <c r="AC526" s="866">
        <v>320.154</v>
      </c>
      <c r="AD526" s="867">
        <f>AE526</f>
        <v>320.154</v>
      </c>
      <c r="AE526" s="865">
        <v>320.154</v>
      </c>
      <c r="AF526" s="867"/>
      <c r="AG526" s="867"/>
      <c r="AH526" s="866">
        <v>0</v>
      </c>
      <c r="AI526" s="867">
        <f>AJ526</f>
        <v>0</v>
      </c>
      <c r="AJ526" s="865">
        <v>0</v>
      </c>
      <c r="AK526" s="867"/>
      <c r="AL526" s="867"/>
      <c r="AM526" s="867"/>
      <c r="AN526" s="867">
        <f>AO526</f>
        <v>0</v>
      </c>
      <c r="AO526" s="864"/>
      <c r="AP526" s="867"/>
      <c r="AQ526" s="867"/>
      <c r="AR526" s="867"/>
      <c r="AS526" s="867">
        <f>AT526</f>
        <v>0</v>
      </c>
      <c r="AT526" s="864"/>
      <c r="AU526" s="867"/>
      <c r="AV526" s="867"/>
      <c r="AW526" s="868"/>
      <c r="AX526" s="867">
        <f>AY526</f>
        <v>0</v>
      </c>
      <c r="AY526" s="864"/>
      <c r="AZ526" s="867"/>
      <c r="BA526" s="867"/>
      <c r="BB526" s="867"/>
      <c r="BC526" s="867">
        <f>BD526</f>
        <v>0</v>
      </c>
      <c r="BD526" s="864"/>
      <c r="BE526" s="864"/>
      <c r="BF526" s="864"/>
      <c r="BG526" s="864"/>
      <c r="BH526" s="821"/>
    </row>
    <row r="527" spans="1:60" customFormat="1" hidden="1" outlineLevel="1" x14ac:dyDescent="0.25">
      <c r="A527" s="113" t="s">
        <v>165</v>
      </c>
      <c r="B527" s="441"/>
      <c r="C527" s="886">
        <v>35.673000000000002</v>
      </c>
      <c r="D527" s="886">
        <v>15.818</v>
      </c>
      <c r="E527" s="886">
        <v>38.104999999999997</v>
      </c>
      <c r="F527" s="886">
        <v>29.364999999999998</v>
      </c>
      <c r="G527" s="885">
        <v>4.42</v>
      </c>
      <c r="H527" s="885">
        <v>9.83</v>
      </c>
      <c r="I527" s="885">
        <v>58.72</v>
      </c>
      <c r="J527" s="885">
        <v>60.924999999999997</v>
      </c>
      <c r="K527" s="886">
        <v>60.924999999999997</v>
      </c>
      <c r="L527" s="885">
        <v>3.09</v>
      </c>
      <c r="M527" s="885">
        <v>95.103999999999999</v>
      </c>
      <c r="N527" s="885">
        <v>127.229</v>
      </c>
      <c r="O527" s="885">
        <v>141.94999999999999</v>
      </c>
      <c r="P527" s="886">
        <v>141.94999999999999</v>
      </c>
      <c r="Q527" s="885">
        <v>31.887</v>
      </c>
      <c r="R527" s="885">
        <v>51.057000000000002</v>
      </c>
      <c r="S527" s="885">
        <v>82.182000000000002</v>
      </c>
      <c r="T527" s="885">
        <v>104.762</v>
      </c>
      <c r="U527" s="886">
        <v>104.762</v>
      </c>
      <c r="V527" s="885">
        <v>63.024999999999999</v>
      </c>
      <c r="W527" s="885">
        <v>87.7</v>
      </c>
      <c r="X527" s="885">
        <v>112.55500000000001</v>
      </c>
      <c r="Y527" s="882">
        <f>Z527</f>
        <v>140.245</v>
      </c>
      <c r="Z527" s="886">
        <v>140.245</v>
      </c>
      <c r="AA527" s="885">
        <v>5.0999999999999996</v>
      </c>
      <c r="AB527" s="885">
        <v>22.704999999999998</v>
      </c>
      <c r="AC527" s="885">
        <v>22.704999999999998</v>
      </c>
      <c r="AD527" s="882">
        <f>AE527</f>
        <v>22.704999999999998</v>
      </c>
      <c r="AE527" s="886">
        <v>22.704999999999998</v>
      </c>
      <c r="AF527" s="882"/>
      <c r="AG527" s="882"/>
      <c r="AH527" s="885">
        <v>0</v>
      </c>
      <c r="AI527" s="882">
        <f>AJ527</f>
        <v>0</v>
      </c>
      <c r="AJ527" s="886">
        <v>0</v>
      </c>
      <c r="AK527" s="882"/>
      <c r="AL527" s="882"/>
      <c r="AM527" s="882"/>
      <c r="AN527" s="882">
        <f>AO527</f>
        <v>0</v>
      </c>
      <c r="AO527" s="881"/>
      <c r="AP527" s="882"/>
      <c r="AQ527" s="882"/>
      <c r="AR527" s="882"/>
      <c r="AS527" s="882">
        <f>AT527</f>
        <v>0</v>
      </c>
      <c r="AT527" s="881"/>
      <c r="AU527" s="882"/>
      <c r="AV527" s="882"/>
      <c r="AW527" s="883"/>
      <c r="AX527" s="882">
        <f>AY527</f>
        <v>0</v>
      </c>
      <c r="AY527" s="881"/>
      <c r="AZ527" s="882"/>
      <c r="BA527" s="882"/>
      <c r="BB527" s="882"/>
      <c r="BC527" s="882">
        <f>BD527</f>
        <v>0</v>
      </c>
      <c r="BD527" s="881"/>
      <c r="BE527" s="881"/>
      <c r="BF527" s="881"/>
      <c r="BG527" s="881"/>
      <c r="BH527" s="821"/>
    </row>
    <row r="528" spans="1:60" customFormat="1" hidden="1" outlineLevel="1" x14ac:dyDescent="0.25">
      <c r="A528" s="61" t="s">
        <v>166</v>
      </c>
      <c r="B528" s="505"/>
      <c r="C528" s="872">
        <f t="shared" ref="C528:AH528" si="472">SUM(C518:C527)</f>
        <v>-246.07899999999995</v>
      </c>
      <c r="D528" s="872">
        <f t="shared" si="472"/>
        <v>-116.081</v>
      </c>
      <c r="E528" s="872">
        <f t="shared" si="472"/>
        <v>-265.81400000000002</v>
      </c>
      <c r="F528" s="872">
        <f t="shared" si="472"/>
        <v>-244.74</v>
      </c>
      <c r="G528" s="871">
        <f t="shared" si="472"/>
        <v>-179.23600000000002</v>
      </c>
      <c r="H528" s="871">
        <f t="shared" si="472"/>
        <v>-306.92099999999999</v>
      </c>
      <c r="I528" s="871">
        <f t="shared" si="472"/>
        <v>-320.59000000000003</v>
      </c>
      <c r="J528" s="871">
        <f t="shared" si="472"/>
        <v>-255.96799999999996</v>
      </c>
      <c r="K528" s="872">
        <f t="shared" si="472"/>
        <v>-255.96799999999996</v>
      </c>
      <c r="L528" s="871">
        <f t="shared" si="472"/>
        <v>57.63900000000001</v>
      </c>
      <c r="M528" s="871">
        <f t="shared" si="472"/>
        <v>28.685999999999964</v>
      </c>
      <c r="N528" s="871">
        <f t="shared" si="472"/>
        <v>8.2750000000000483</v>
      </c>
      <c r="O528" s="871">
        <f t="shared" si="472"/>
        <v>-42.865999999999985</v>
      </c>
      <c r="P528" s="872">
        <f t="shared" si="472"/>
        <v>-42.865999999999985</v>
      </c>
      <c r="Q528" s="871">
        <f t="shared" si="472"/>
        <v>-42.822000000000003</v>
      </c>
      <c r="R528" s="871">
        <f t="shared" si="472"/>
        <v>-91.152000000000001</v>
      </c>
      <c r="S528" s="871">
        <f t="shared" si="472"/>
        <v>-138.63099999999997</v>
      </c>
      <c r="T528" s="871">
        <f t="shared" si="472"/>
        <v>-179.19200000000001</v>
      </c>
      <c r="U528" s="872">
        <f t="shared" si="472"/>
        <v>-179.19200000000001</v>
      </c>
      <c r="V528" s="871">
        <f t="shared" si="472"/>
        <v>4.2629999999999981</v>
      </c>
      <c r="W528" s="871">
        <f t="shared" si="472"/>
        <v>1.3670000000000044</v>
      </c>
      <c r="X528" s="871">
        <f t="shared" si="472"/>
        <v>25.343000000000018</v>
      </c>
      <c r="Y528" s="870">
        <f t="shared" si="472"/>
        <v>49.76499999999993</v>
      </c>
      <c r="Z528" s="869">
        <f t="shared" si="472"/>
        <v>49.76499999999993</v>
      </c>
      <c r="AA528" s="871">
        <f t="shared" si="472"/>
        <v>-75.590000000000032</v>
      </c>
      <c r="AB528" s="871">
        <f t="shared" si="472"/>
        <v>-132.02199999999999</v>
      </c>
      <c r="AC528" s="871">
        <f t="shared" si="472"/>
        <v>70.169999999999973</v>
      </c>
      <c r="AD528" s="870">
        <f t="shared" si="472"/>
        <v>34.329000000000022</v>
      </c>
      <c r="AE528" s="869">
        <f t="shared" si="472"/>
        <v>34.329000000000022</v>
      </c>
      <c r="AF528" s="871">
        <f t="shared" si="472"/>
        <v>-49.752000000000002</v>
      </c>
      <c r="AG528" s="871">
        <f t="shared" si="472"/>
        <v>-90.067999999999998</v>
      </c>
      <c r="AH528" s="871">
        <f t="shared" si="472"/>
        <v>-258.762</v>
      </c>
      <c r="AI528" s="870">
        <f t="shared" ref="AI528:AY528" si="473">SUM(AI518:AI527)</f>
        <v>-339.12</v>
      </c>
      <c r="AJ528" s="869">
        <f t="shared" si="473"/>
        <v>-339.12</v>
      </c>
      <c r="AK528" s="871">
        <f t="shared" si="473"/>
        <v>-80.103000000000009</v>
      </c>
      <c r="AL528" s="871">
        <f t="shared" si="473"/>
        <v>-130.13900000000001</v>
      </c>
      <c r="AM528" s="871">
        <f t="shared" si="473"/>
        <v>-179.49299999999999</v>
      </c>
      <c r="AN528" s="870">
        <f t="shared" si="473"/>
        <v>-387.06399999999996</v>
      </c>
      <c r="AO528" s="869">
        <f t="shared" si="473"/>
        <v>-387.06399999999996</v>
      </c>
      <c r="AP528" s="871">
        <f t="shared" si="473"/>
        <v>-98.302999999999997</v>
      </c>
      <c r="AQ528" s="871">
        <f t="shared" si="473"/>
        <v>-240.304</v>
      </c>
      <c r="AR528" s="871">
        <f>SUM(AR518:AR527)</f>
        <v>-358.95499999999998</v>
      </c>
      <c r="AS528" s="870">
        <f>SUM(AS518:AS527)</f>
        <v>-505.35399999999998</v>
      </c>
      <c r="AT528" s="869">
        <f>SUM(AT518:AT527)</f>
        <v>-505.35399999999998</v>
      </c>
      <c r="AU528" s="871">
        <f t="shared" ref="AU528" si="474">SUM(AU518:AU527)</f>
        <v>-85.616</v>
      </c>
      <c r="AV528" s="871">
        <f>SUM(AV518:AV527)</f>
        <v>-196.89400000000001</v>
      </c>
      <c r="AW528" s="873">
        <f>SUM(AW518:AW527)</f>
        <v>-385.52499999999998</v>
      </c>
      <c r="AX528" s="870">
        <f t="shared" si="473"/>
        <v>0</v>
      </c>
      <c r="AY528" s="869">
        <f t="shared" si="473"/>
        <v>0</v>
      </c>
      <c r="AZ528" s="870">
        <f t="shared" ref="AZ528:BG528" si="475">SUM(AZ518:AZ527)</f>
        <v>0</v>
      </c>
      <c r="BA528" s="870">
        <f t="shared" si="475"/>
        <v>0</v>
      </c>
      <c r="BB528" s="870">
        <f t="shared" si="475"/>
        <v>0</v>
      </c>
      <c r="BC528" s="870">
        <f t="shared" si="475"/>
        <v>0</v>
      </c>
      <c r="BD528" s="869">
        <f t="shared" si="475"/>
        <v>0</v>
      </c>
      <c r="BE528" s="869">
        <f t="shared" si="475"/>
        <v>0</v>
      </c>
      <c r="BF528" s="869">
        <f t="shared" si="475"/>
        <v>0</v>
      </c>
      <c r="BG528" s="869">
        <f t="shared" si="475"/>
        <v>0</v>
      </c>
      <c r="BH528" s="824"/>
    </row>
    <row r="529" spans="1:60" customFormat="1" hidden="1" outlineLevel="1" x14ac:dyDescent="0.25">
      <c r="A529" s="494"/>
      <c r="B529" s="423"/>
      <c r="C529" s="874"/>
      <c r="D529" s="874"/>
      <c r="E529" s="874"/>
      <c r="F529" s="874"/>
      <c r="G529" s="879"/>
      <c r="H529" s="879"/>
      <c r="I529" s="879"/>
      <c r="J529" s="879"/>
      <c r="K529" s="874"/>
      <c r="L529" s="879"/>
      <c r="M529" s="879"/>
      <c r="N529" s="879"/>
      <c r="O529" s="879"/>
      <c r="P529" s="874"/>
      <c r="Q529" s="879"/>
      <c r="R529" s="879"/>
      <c r="S529" s="879"/>
      <c r="T529" s="879"/>
      <c r="U529" s="874"/>
      <c r="V529" s="879"/>
      <c r="W529" s="879"/>
      <c r="X529" s="879"/>
      <c r="Y529" s="879"/>
      <c r="Z529" s="874"/>
      <c r="AA529" s="879"/>
      <c r="AB529" s="879"/>
      <c r="AC529" s="879"/>
      <c r="AD529" s="879"/>
      <c r="AE529" s="874"/>
      <c r="AF529" s="879"/>
      <c r="AG529" s="879"/>
      <c r="AH529" s="879"/>
      <c r="AI529" s="879"/>
      <c r="AJ529" s="874"/>
      <c r="AK529" s="879"/>
      <c r="AL529" s="879"/>
      <c r="AM529" s="879"/>
      <c r="AN529" s="879"/>
      <c r="AO529" s="874"/>
      <c r="AP529" s="879"/>
      <c r="AQ529" s="879"/>
      <c r="AR529" s="879"/>
      <c r="AS529" s="879"/>
      <c r="AT529" s="874"/>
      <c r="AU529" s="879"/>
      <c r="AV529" s="879"/>
      <c r="AW529" s="880"/>
      <c r="AX529" s="879"/>
      <c r="AY529" s="874"/>
      <c r="AZ529" s="879"/>
      <c r="BA529" s="879"/>
      <c r="BB529" s="879"/>
      <c r="BC529" s="879"/>
      <c r="BD529" s="874"/>
      <c r="BE529" s="874"/>
      <c r="BF529" s="874"/>
      <c r="BG529" s="874"/>
      <c r="BH529" s="824"/>
    </row>
    <row r="530" spans="1:60" customFormat="1" hidden="1" outlineLevel="1" x14ac:dyDescent="0.25">
      <c r="A530" s="63" t="s">
        <v>167</v>
      </c>
      <c r="B530" s="423"/>
      <c r="C530" s="874"/>
      <c r="D530" s="874"/>
      <c r="E530" s="874"/>
      <c r="F530" s="874"/>
      <c r="G530" s="879"/>
      <c r="H530" s="879"/>
      <c r="I530" s="879"/>
      <c r="J530" s="879"/>
      <c r="K530" s="874"/>
      <c r="L530" s="879"/>
      <c r="M530" s="879"/>
      <c r="N530" s="879"/>
      <c r="O530" s="879"/>
      <c r="P530" s="874"/>
      <c r="Q530" s="879"/>
      <c r="R530" s="879"/>
      <c r="S530" s="879"/>
      <c r="T530" s="879"/>
      <c r="U530" s="874"/>
      <c r="V530" s="879"/>
      <c r="W530" s="879"/>
      <c r="X530" s="879"/>
      <c r="Y530" s="879"/>
      <c r="Z530" s="874"/>
      <c r="AA530" s="879"/>
      <c r="AB530" s="879"/>
      <c r="AC530" s="879"/>
      <c r="AD530" s="879"/>
      <c r="AE530" s="874"/>
      <c r="AF530" s="879"/>
      <c r="AG530" s="879"/>
      <c r="AH530" s="879"/>
      <c r="AI530" s="879"/>
      <c r="AJ530" s="874"/>
      <c r="AK530" s="879"/>
      <c r="AL530" s="879"/>
      <c r="AM530" s="879"/>
      <c r="AN530" s="879"/>
      <c r="AO530" s="874"/>
      <c r="AP530" s="879"/>
      <c r="AQ530" s="879"/>
      <c r="AR530" s="879"/>
      <c r="AS530" s="879"/>
      <c r="AT530" s="874"/>
      <c r="AU530" s="879"/>
      <c r="AV530" s="879"/>
      <c r="AW530" s="880"/>
      <c r="AX530" s="879"/>
      <c r="AY530" s="874"/>
      <c r="AZ530" s="879"/>
      <c r="BA530" s="879"/>
      <c r="BB530" s="879"/>
      <c r="BC530" s="879"/>
      <c r="BD530" s="874"/>
      <c r="BE530" s="874"/>
      <c r="BF530" s="874"/>
      <c r="BG530" s="874"/>
      <c r="BH530" s="824"/>
    </row>
    <row r="531" spans="1:60" customFormat="1" hidden="1" outlineLevel="1" x14ac:dyDescent="0.25">
      <c r="A531" s="367" t="s">
        <v>168</v>
      </c>
      <c r="B531" s="289"/>
      <c r="C531" s="865">
        <v>35.274000000000001</v>
      </c>
      <c r="D531" s="865">
        <v>0</v>
      </c>
      <c r="E531" s="865">
        <v>19.614000000000001</v>
      </c>
      <c r="F531" s="865">
        <v>4.1239999999999997</v>
      </c>
      <c r="G531" s="866">
        <v>39.146000000000001</v>
      </c>
      <c r="H531" s="866">
        <v>67.992000000000004</v>
      </c>
      <c r="I531" s="866">
        <v>93.552999999999997</v>
      </c>
      <c r="J531" s="866">
        <v>124.557</v>
      </c>
      <c r="K531" s="865">
        <v>124.557</v>
      </c>
      <c r="L531" s="866">
        <v>32.448</v>
      </c>
      <c r="M531" s="866">
        <v>46.917000000000002</v>
      </c>
      <c r="N531" s="866">
        <v>56.793999999999997</v>
      </c>
      <c r="O531" s="866">
        <v>60.543999999999997</v>
      </c>
      <c r="P531" s="865">
        <v>60.543999999999997</v>
      </c>
      <c r="Q531" s="866">
        <v>10.916</v>
      </c>
      <c r="R531" s="866">
        <v>34.72</v>
      </c>
      <c r="S531" s="866">
        <v>69.808999999999997</v>
      </c>
      <c r="T531" s="866">
        <v>77.98</v>
      </c>
      <c r="U531" s="865">
        <v>77.98</v>
      </c>
      <c r="V531" s="866">
        <v>3.536</v>
      </c>
      <c r="W531" s="866">
        <v>7.7679999999999998</v>
      </c>
      <c r="X531" s="866">
        <v>11.587</v>
      </c>
      <c r="Y531" s="867">
        <f t="shared" ref="Y531:Y539" si="476">Z531</f>
        <v>36.978999999999999</v>
      </c>
      <c r="Z531" s="865">
        <v>36.978999999999999</v>
      </c>
      <c r="AA531" s="866">
        <v>24.178000000000001</v>
      </c>
      <c r="AB531" s="866">
        <v>39.003999999999998</v>
      </c>
      <c r="AC531" s="866">
        <v>73.673000000000002</v>
      </c>
      <c r="AD531" s="867">
        <f t="shared" ref="AD531:AD539" si="477">AE531</f>
        <v>88.378</v>
      </c>
      <c r="AE531" s="865">
        <v>88.378</v>
      </c>
      <c r="AF531" s="866">
        <v>56.335000000000001</v>
      </c>
      <c r="AG531" s="866">
        <v>83.271000000000001</v>
      </c>
      <c r="AH531" s="866">
        <v>113.05200000000001</v>
      </c>
      <c r="AI531" s="867">
        <f t="shared" ref="AI531:AI539" si="478">AJ531</f>
        <v>124.502</v>
      </c>
      <c r="AJ531" s="865">
        <v>124.502</v>
      </c>
      <c r="AK531" s="866">
        <v>22.972000000000001</v>
      </c>
      <c r="AL531" s="866">
        <v>44.868000000000002</v>
      </c>
      <c r="AM531" s="866">
        <v>56.856999999999999</v>
      </c>
      <c r="AN531" s="867">
        <f t="shared" ref="AN531:AN539" si="479">AO531</f>
        <v>72.489999999999995</v>
      </c>
      <c r="AO531" s="865">
        <v>72.489999999999995</v>
      </c>
      <c r="AP531" s="866">
        <v>43.694000000000003</v>
      </c>
      <c r="AQ531" s="866">
        <v>132.75399999999999</v>
      </c>
      <c r="AR531" s="866">
        <v>201.41900000000001</v>
      </c>
      <c r="AS531" s="867">
        <f t="shared" ref="AS531:AS539" si="480">AT531</f>
        <v>235.40600000000001</v>
      </c>
      <c r="AT531" s="865">
        <v>235.40600000000001</v>
      </c>
      <c r="AU531" s="866">
        <v>48.070999999999998</v>
      </c>
      <c r="AV531" s="866">
        <v>67.819999999999993</v>
      </c>
      <c r="AW531" s="878">
        <v>86.265000000000001</v>
      </c>
      <c r="AX531" s="867">
        <f t="shared" ref="AX531:AX539" si="481">AY531</f>
        <v>0</v>
      </c>
      <c r="AY531" s="864"/>
      <c r="AZ531" s="867"/>
      <c r="BA531" s="867"/>
      <c r="BB531" s="867"/>
      <c r="BC531" s="867">
        <f t="shared" ref="BC531:BC539" si="482">BD531</f>
        <v>0</v>
      </c>
      <c r="BD531" s="864"/>
      <c r="BE531" s="864"/>
      <c r="BF531" s="864"/>
      <c r="BG531" s="864"/>
      <c r="BH531" s="821"/>
    </row>
    <row r="532" spans="1:60" customFormat="1" hidden="1" outlineLevel="1" x14ac:dyDescent="0.25">
      <c r="A532" s="367" t="s">
        <v>169</v>
      </c>
      <c r="B532" s="289"/>
      <c r="C532" s="865">
        <v>193.917</v>
      </c>
      <c r="D532" s="865">
        <v>0</v>
      </c>
      <c r="E532" s="865">
        <v>199.947</v>
      </c>
      <c r="F532" s="865">
        <v>0</v>
      </c>
      <c r="G532" s="866">
        <v>0</v>
      </c>
      <c r="H532" s="866">
        <v>0</v>
      </c>
      <c r="I532" s="866">
        <v>0</v>
      </c>
      <c r="J532" s="866">
        <v>0</v>
      </c>
      <c r="K532" s="865">
        <v>0</v>
      </c>
      <c r="L532" s="866">
        <v>0</v>
      </c>
      <c r="M532" s="866">
        <v>0</v>
      </c>
      <c r="N532" s="866">
        <v>0</v>
      </c>
      <c r="O532" s="866">
        <v>0</v>
      </c>
      <c r="P532" s="865">
        <v>0</v>
      </c>
      <c r="Q532" s="866">
        <v>0</v>
      </c>
      <c r="R532" s="866">
        <v>0</v>
      </c>
      <c r="S532" s="866">
        <v>0</v>
      </c>
      <c r="T532" s="866">
        <v>0</v>
      </c>
      <c r="U532" s="865">
        <v>0</v>
      </c>
      <c r="V532" s="867"/>
      <c r="W532" s="867"/>
      <c r="X532" s="867"/>
      <c r="Y532" s="867">
        <f t="shared" si="476"/>
        <v>0</v>
      </c>
      <c r="Z532" s="864"/>
      <c r="AA532" s="867"/>
      <c r="AB532" s="867"/>
      <c r="AC532" s="867"/>
      <c r="AD532" s="867">
        <f t="shared" si="477"/>
        <v>0</v>
      </c>
      <c r="AE532" s="864"/>
      <c r="AF532" s="867"/>
      <c r="AG532" s="867"/>
      <c r="AH532" s="867"/>
      <c r="AI532" s="867">
        <f t="shared" si="478"/>
        <v>0</v>
      </c>
      <c r="AJ532" s="864"/>
      <c r="AK532" s="867"/>
      <c r="AL532" s="867"/>
      <c r="AM532" s="867"/>
      <c r="AN532" s="867">
        <f t="shared" si="479"/>
        <v>0</v>
      </c>
      <c r="AO532" s="864"/>
      <c r="AP532" s="867"/>
      <c r="AQ532" s="867"/>
      <c r="AR532" s="867"/>
      <c r="AS532" s="867">
        <f t="shared" si="480"/>
        <v>0</v>
      </c>
      <c r="AT532" s="864"/>
      <c r="AU532" s="867"/>
      <c r="AV532" s="867"/>
      <c r="AW532" s="868"/>
      <c r="AX532" s="867">
        <f t="shared" si="481"/>
        <v>0</v>
      </c>
      <c r="AY532" s="864"/>
      <c r="AZ532" s="867"/>
      <c r="BA532" s="867"/>
      <c r="BB532" s="867"/>
      <c r="BC532" s="867">
        <f t="shared" si="482"/>
        <v>0</v>
      </c>
      <c r="BD532" s="864"/>
      <c r="BE532" s="864"/>
      <c r="BF532" s="864"/>
      <c r="BG532" s="864"/>
      <c r="BH532" s="821"/>
    </row>
    <row r="533" spans="1:60" customFormat="1" hidden="1" outlineLevel="1" x14ac:dyDescent="0.25">
      <c r="A533" s="367" t="s">
        <v>170</v>
      </c>
      <c r="B533" s="289"/>
      <c r="C533" s="865">
        <v>0</v>
      </c>
      <c r="D533" s="865">
        <v>0</v>
      </c>
      <c r="E533" s="865">
        <v>198.06</v>
      </c>
      <c r="F533" s="865">
        <v>0</v>
      </c>
      <c r="G533" s="866">
        <v>500</v>
      </c>
      <c r="H533" s="866">
        <v>500</v>
      </c>
      <c r="I533" s="866">
        <v>500</v>
      </c>
      <c r="J533" s="866">
        <v>500</v>
      </c>
      <c r="K533" s="865">
        <v>500</v>
      </c>
      <c r="L533" s="866">
        <v>400</v>
      </c>
      <c r="M533" s="866">
        <v>400</v>
      </c>
      <c r="N533" s="866">
        <v>400</v>
      </c>
      <c r="O533" s="866">
        <v>400</v>
      </c>
      <c r="P533" s="865">
        <v>400</v>
      </c>
      <c r="Q533" s="866">
        <v>1500</v>
      </c>
      <c r="R533" s="866">
        <v>1500</v>
      </c>
      <c r="S533" s="866">
        <v>1500</v>
      </c>
      <c r="T533" s="866">
        <v>1500</v>
      </c>
      <c r="U533" s="865">
        <v>1500</v>
      </c>
      <c r="V533" s="867"/>
      <c r="W533" s="867"/>
      <c r="X533" s="867"/>
      <c r="Y533" s="867">
        <f t="shared" si="476"/>
        <v>1000</v>
      </c>
      <c r="Z533" s="865">
        <v>1000</v>
      </c>
      <c r="AA533" s="867"/>
      <c r="AB533" s="866">
        <v>1420.51</v>
      </c>
      <c r="AC533" s="866">
        <v>1420.51</v>
      </c>
      <c r="AD533" s="867">
        <f t="shared" si="477"/>
        <v>3020.51</v>
      </c>
      <c r="AE533" s="865">
        <v>3020.51</v>
      </c>
      <c r="AF533" s="867"/>
      <c r="AG533" s="866">
        <v>1900</v>
      </c>
      <c r="AH533" s="866">
        <v>1900</v>
      </c>
      <c r="AI533" s="867">
        <f t="shared" si="478"/>
        <v>3961.8519999999999</v>
      </c>
      <c r="AJ533" s="865">
        <v>3961.8519999999999</v>
      </c>
      <c r="AK533" s="867"/>
      <c r="AL533" s="866">
        <v>2243.1959999999999</v>
      </c>
      <c r="AM533" s="866">
        <v>2243.1959999999999</v>
      </c>
      <c r="AN533" s="867">
        <f t="shared" si="479"/>
        <v>4469.3059999999996</v>
      </c>
      <c r="AO533" s="865">
        <v>4469.3059999999996</v>
      </c>
      <c r="AP533" s="867"/>
      <c r="AQ533" s="866">
        <v>1009.4640000000001</v>
      </c>
      <c r="AR533" s="866">
        <v>1009.4640000000001</v>
      </c>
      <c r="AS533" s="867">
        <f t="shared" si="480"/>
        <v>1009.4640000000001</v>
      </c>
      <c r="AT533" s="865">
        <v>1009.4640000000001</v>
      </c>
      <c r="AU533" s="867"/>
      <c r="AV533" s="867"/>
      <c r="AW533" s="868"/>
      <c r="AX533" s="867">
        <f t="shared" si="481"/>
        <v>0</v>
      </c>
      <c r="AY533" s="864"/>
      <c r="AZ533" s="867"/>
      <c r="BA533" s="867"/>
      <c r="BB533" s="867"/>
      <c r="BC533" s="867">
        <f t="shared" si="482"/>
        <v>0</v>
      </c>
      <c r="BD533" s="864"/>
      <c r="BE533" s="864"/>
      <c r="BF533" s="864"/>
      <c r="BG533" s="864"/>
      <c r="BH533" s="821"/>
    </row>
    <row r="534" spans="1:60" customFormat="1" hidden="1" outlineLevel="1" x14ac:dyDescent="0.25">
      <c r="A534" s="367" t="s">
        <v>171</v>
      </c>
      <c r="B534" s="289"/>
      <c r="C534" s="865">
        <v>0</v>
      </c>
      <c r="D534" s="865">
        <v>0</v>
      </c>
      <c r="E534" s="865">
        <v>0</v>
      </c>
      <c r="F534" s="865">
        <v>-0.75900000000000001</v>
      </c>
      <c r="G534" s="866">
        <v>-9.4139999999999997</v>
      </c>
      <c r="H534" s="866">
        <v>-9.4139999999999997</v>
      </c>
      <c r="I534" s="866">
        <v>-9.4139999999999997</v>
      </c>
      <c r="J534" s="866">
        <v>-9.4139999999999997</v>
      </c>
      <c r="K534" s="865">
        <v>-9.4139999999999997</v>
      </c>
      <c r="L534" s="866">
        <v>-6.7270000000000003</v>
      </c>
      <c r="M534" s="866">
        <v>-7.08</v>
      </c>
      <c r="N534" s="866">
        <v>-7.08</v>
      </c>
      <c r="O534" s="866">
        <v>-7.08</v>
      </c>
      <c r="P534" s="865">
        <v>-7.08</v>
      </c>
      <c r="Q534" s="866">
        <v>-17.231999999999999</v>
      </c>
      <c r="R534" s="866">
        <v>-17.629000000000001</v>
      </c>
      <c r="S534" s="866">
        <v>-17.629000000000001</v>
      </c>
      <c r="T534" s="866">
        <v>-17.629000000000001</v>
      </c>
      <c r="U534" s="865">
        <v>-17.629000000000001</v>
      </c>
      <c r="V534" s="867"/>
      <c r="W534" s="867"/>
      <c r="X534" s="867"/>
      <c r="Y534" s="867">
        <f t="shared" si="476"/>
        <v>-10.7</v>
      </c>
      <c r="Z534" s="865">
        <v>-10.7</v>
      </c>
      <c r="AA534" s="867"/>
      <c r="AB534" s="867"/>
      <c r="AC534" s="866">
        <v>-15.324999999999999</v>
      </c>
      <c r="AD534" s="867">
        <f t="shared" si="477"/>
        <v>-32.152999999999999</v>
      </c>
      <c r="AE534" s="865">
        <v>-32.152999999999999</v>
      </c>
      <c r="AF534" s="867"/>
      <c r="AG534" s="867"/>
      <c r="AH534" s="867"/>
      <c r="AI534" s="867">
        <f t="shared" si="478"/>
        <v>0</v>
      </c>
      <c r="AJ534" s="864"/>
      <c r="AK534" s="867"/>
      <c r="AL534" s="867"/>
      <c r="AM534" s="867"/>
      <c r="AN534" s="867">
        <f t="shared" si="479"/>
        <v>0</v>
      </c>
      <c r="AO534" s="864"/>
      <c r="AP534" s="867"/>
      <c r="AQ534" s="867"/>
      <c r="AR534" s="867"/>
      <c r="AS534" s="867">
        <f t="shared" si="480"/>
        <v>0</v>
      </c>
      <c r="AT534" s="864"/>
      <c r="AU534" s="867"/>
      <c r="AV534" s="867"/>
      <c r="AW534" s="868"/>
      <c r="AX534" s="867">
        <f t="shared" si="481"/>
        <v>0</v>
      </c>
      <c r="AY534" s="864"/>
      <c r="AZ534" s="867"/>
      <c r="BA534" s="867"/>
      <c r="BB534" s="867"/>
      <c r="BC534" s="867">
        <f t="shared" si="482"/>
        <v>0</v>
      </c>
      <c r="BD534" s="864"/>
      <c r="BE534" s="864"/>
      <c r="BF534" s="864"/>
      <c r="BG534" s="864"/>
      <c r="BH534" s="821"/>
    </row>
    <row r="535" spans="1:60" customFormat="1" hidden="1" outlineLevel="1" x14ac:dyDescent="0.25">
      <c r="A535" s="367" t="s">
        <v>172</v>
      </c>
      <c r="B535" s="289"/>
      <c r="C535" s="865">
        <v>-324.33499999999998</v>
      </c>
      <c r="D535" s="865">
        <v>-210.25899999999999</v>
      </c>
      <c r="E535" s="865">
        <v>-199.666</v>
      </c>
      <c r="F535" s="865">
        <v>0</v>
      </c>
      <c r="G535" s="866">
        <v>0</v>
      </c>
      <c r="H535" s="866">
        <v>0</v>
      </c>
      <c r="I535" s="866">
        <v>0</v>
      </c>
      <c r="J535" s="866">
        <v>0</v>
      </c>
      <c r="K535" s="865">
        <v>0</v>
      </c>
      <c r="L535" s="866">
        <v>0</v>
      </c>
      <c r="M535" s="866">
        <v>0</v>
      </c>
      <c r="N535" s="866">
        <v>0</v>
      </c>
      <c r="O535" s="866">
        <v>0</v>
      </c>
      <c r="P535" s="865">
        <v>0</v>
      </c>
      <c r="Q535" s="866">
        <v>0</v>
      </c>
      <c r="R535" s="866">
        <v>0</v>
      </c>
      <c r="S535" s="866">
        <v>0</v>
      </c>
      <c r="T535" s="866">
        <v>0</v>
      </c>
      <c r="U535" s="865">
        <v>0</v>
      </c>
      <c r="V535" s="867"/>
      <c r="W535" s="867"/>
      <c r="X535" s="867"/>
      <c r="Y535" s="867">
        <f t="shared" si="476"/>
        <v>0</v>
      </c>
      <c r="Z535" s="864"/>
      <c r="AA535" s="867"/>
      <c r="AB535" s="866">
        <v>-15.013</v>
      </c>
      <c r="AC535" s="867"/>
      <c r="AD535" s="867">
        <f t="shared" si="477"/>
        <v>0</v>
      </c>
      <c r="AE535" s="864"/>
      <c r="AF535" s="867"/>
      <c r="AG535" s="866">
        <v>-16.992000000000001</v>
      </c>
      <c r="AH535" s="866">
        <v>-16.992000000000001</v>
      </c>
      <c r="AI535" s="867">
        <f t="shared" si="478"/>
        <v>-35.871000000000002</v>
      </c>
      <c r="AJ535" s="865">
        <v>-35.871000000000002</v>
      </c>
      <c r="AK535" s="867"/>
      <c r="AL535" s="866">
        <v>-18.192</v>
      </c>
      <c r="AM535" s="866">
        <v>-18.192</v>
      </c>
      <c r="AN535" s="867">
        <f t="shared" si="479"/>
        <v>-36.134</v>
      </c>
      <c r="AO535" s="865">
        <v>-36.134</v>
      </c>
      <c r="AP535" s="867"/>
      <c r="AQ535" s="866">
        <v>-7.5590000000000002</v>
      </c>
      <c r="AR535" s="866">
        <v>-7.5590000000000002</v>
      </c>
      <c r="AS535" s="867">
        <f t="shared" si="480"/>
        <v>-7.5590000000000002</v>
      </c>
      <c r="AT535" s="865">
        <v>-7.5590000000000002</v>
      </c>
      <c r="AU535" s="867"/>
      <c r="AV535" s="867"/>
      <c r="AW535" s="868"/>
      <c r="AX535" s="867">
        <f t="shared" si="481"/>
        <v>0</v>
      </c>
      <c r="AY535" s="864"/>
      <c r="AZ535" s="867"/>
      <c r="BA535" s="867"/>
      <c r="BB535" s="867"/>
      <c r="BC535" s="867">
        <f t="shared" si="482"/>
        <v>0</v>
      </c>
      <c r="BD535" s="864"/>
      <c r="BE535" s="864"/>
      <c r="BF535" s="864"/>
      <c r="BG535" s="864"/>
      <c r="BH535" s="821"/>
    </row>
    <row r="536" spans="1:60" customFormat="1" hidden="1" outlineLevel="1" x14ac:dyDescent="0.25">
      <c r="A536" s="367" t="s">
        <v>173</v>
      </c>
      <c r="B536" s="289"/>
      <c r="C536" s="865">
        <v>0</v>
      </c>
      <c r="D536" s="865">
        <v>0</v>
      </c>
      <c r="E536" s="865">
        <v>0</v>
      </c>
      <c r="F536" s="865">
        <v>0</v>
      </c>
      <c r="G536" s="866">
        <v>-219.36199999999999</v>
      </c>
      <c r="H536" s="866">
        <v>-219.36199999999999</v>
      </c>
      <c r="I536" s="866">
        <v>-219.36199999999999</v>
      </c>
      <c r="J536" s="866">
        <v>-219.36199999999999</v>
      </c>
      <c r="K536" s="865">
        <v>-219.36199999999999</v>
      </c>
      <c r="L536" s="866">
        <v>0</v>
      </c>
      <c r="M536" s="866">
        <v>0</v>
      </c>
      <c r="N536" s="866">
        <v>0</v>
      </c>
      <c r="O536" s="866">
        <v>0</v>
      </c>
      <c r="P536" s="865">
        <v>0</v>
      </c>
      <c r="Q536" s="866">
        <v>0</v>
      </c>
      <c r="R536" s="866">
        <v>0</v>
      </c>
      <c r="S536" s="866">
        <v>0</v>
      </c>
      <c r="T536" s="866">
        <v>0</v>
      </c>
      <c r="U536" s="865">
        <v>0</v>
      </c>
      <c r="V536" s="867"/>
      <c r="W536" s="867"/>
      <c r="X536" s="867"/>
      <c r="Y536" s="867">
        <f t="shared" si="476"/>
        <v>0</v>
      </c>
      <c r="Z536" s="864"/>
      <c r="AA536" s="867"/>
      <c r="AB536" s="867"/>
      <c r="AC536" s="867"/>
      <c r="AD536" s="867">
        <f t="shared" si="477"/>
        <v>0</v>
      </c>
      <c r="AE536" s="864"/>
      <c r="AF536" s="867"/>
      <c r="AG536" s="867"/>
      <c r="AH536" s="867"/>
      <c r="AI536" s="867">
        <f t="shared" si="478"/>
        <v>0</v>
      </c>
      <c r="AJ536" s="864"/>
      <c r="AK536" s="867"/>
      <c r="AL536" s="867"/>
      <c r="AM536" s="867"/>
      <c r="AN536" s="867">
        <f t="shared" si="479"/>
        <v>0</v>
      </c>
      <c r="AO536" s="864"/>
      <c r="AP536" s="867"/>
      <c r="AQ536" s="867"/>
      <c r="AR536" s="867"/>
      <c r="AS536" s="867">
        <f t="shared" si="480"/>
        <v>0</v>
      </c>
      <c r="AT536" s="864"/>
      <c r="AU536" s="866">
        <v>-500</v>
      </c>
      <c r="AV536" s="867">
        <v>-500</v>
      </c>
      <c r="AW536" s="868">
        <v>-500</v>
      </c>
      <c r="AX536" s="867">
        <f t="shared" si="481"/>
        <v>0</v>
      </c>
      <c r="AY536" s="864"/>
      <c r="AZ536" s="867"/>
      <c r="BA536" s="867"/>
      <c r="BB536" s="867"/>
      <c r="BC536" s="867">
        <f t="shared" si="482"/>
        <v>0</v>
      </c>
      <c r="BD536" s="864"/>
      <c r="BE536" s="864"/>
      <c r="BF536" s="864"/>
      <c r="BG536" s="864"/>
      <c r="BH536" s="821"/>
    </row>
    <row r="537" spans="1:60" customFormat="1" hidden="1" outlineLevel="1" x14ac:dyDescent="0.25">
      <c r="A537" s="367" t="s">
        <v>142</v>
      </c>
      <c r="B537" s="289"/>
      <c r="C537" s="865">
        <v>12.683</v>
      </c>
      <c r="D537" s="865">
        <v>62.213999999999999</v>
      </c>
      <c r="E537" s="865">
        <v>45.783999999999999</v>
      </c>
      <c r="F537" s="865">
        <v>4.5430000000000001</v>
      </c>
      <c r="G537" s="866">
        <v>11.615</v>
      </c>
      <c r="H537" s="866">
        <v>31.983000000000001</v>
      </c>
      <c r="I537" s="866">
        <v>52.475000000000001</v>
      </c>
      <c r="J537" s="866">
        <v>81.662999999999997</v>
      </c>
      <c r="K537" s="865">
        <v>81.662999999999997</v>
      </c>
      <c r="L537" s="866">
        <v>32.731999999999999</v>
      </c>
      <c r="M537" s="866">
        <v>47.36</v>
      </c>
      <c r="N537" s="866">
        <v>68.42</v>
      </c>
      <c r="O537" s="866">
        <v>89.340999999999994</v>
      </c>
      <c r="P537" s="865">
        <v>89.340999999999994</v>
      </c>
      <c r="Q537" s="866">
        <v>29.001000000000001</v>
      </c>
      <c r="R537" s="866">
        <v>68.427999999999997</v>
      </c>
      <c r="S537" s="866">
        <v>106.154</v>
      </c>
      <c r="T537" s="866">
        <v>80.471000000000004</v>
      </c>
      <c r="U537" s="865">
        <v>80.471000000000004</v>
      </c>
      <c r="V537" s="866">
        <v>11.316000000000001</v>
      </c>
      <c r="W537" s="866">
        <v>24.638999999999999</v>
      </c>
      <c r="X537" s="866">
        <v>37.401000000000003</v>
      </c>
      <c r="Y537" s="867">
        <f t="shared" si="476"/>
        <v>65.120999999999995</v>
      </c>
      <c r="Z537" s="865">
        <v>65.120999999999995</v>
      </c>
      <c r="AA537" s="867"/>
      <c r="AB537" s="866">
        <v>0</v>
      </c>
      <c r="AC537" s="867"/>
      <c r="AD537" s="867">
        <f t="shared" si="477"/>
        <v>0</v>
      </c>
      <c r="AE537" s="864"/>
      <c r="AF537" s="867"/>
      <c r="AG537" s="867"/>
      <c r="AH537" s="867"/>
      <c r="AI537" s="867">
        <f t="shared" si="478"/>
        <v>0</v>
      </c>
      <c r="AJ537" s="864"/>
      <c r="AK537" s="867"/>
      <c r="AL537" s="867"/>
      <c r="AM537" s="867"/>
      <c r="AN537" s="867">
        <f t="shared" si="479"/>
        <v>0</v>
      </c>
      <c r="AO537" s="864"/>
      <c r="AP537" s="867"/>
      <c r="AQ537" s="867"/>
      <c r="AR537" s="867"/>
      <c r="AS537" s="867">
        <f t="shared" si="480"/>
        <v>0</v>
      </c>
      <c r="AT537" s="864"/>
      <c r="AU537" s="867"/>
      <c r="AV537" s="867"/>
      <c r="AW537" s="868"/>
      <c r="AX537" s="867">
        <f t="shared" si="481"/>
        <v>0</v>
      </c>
      <c r="AY537" s="864"/>
      <c r="AZ537" s="867"/>
      <c r="BA537" s="867"/>
      <c r="BB537" s="867"/>
      <c r="BC537" s="867">
        <f t="shared" si="482"/>
        <v>0</v>
      </c>
      <c r="BD537" s="864"/>
      <c r="BE537" s="864"/>
      <c r="BF537" s="864"/>
      <c r="BG537" s="864"/>
      <c r="BH537" s="821"/>
    </row>
    <row r="538" spans="1:60" customFormat="1" hidden="1" outlineLevel="1" x14ac:dyDescent="0.25">
      <c r="A538" s="367" t="s">
        <v>174</v>
      </c>
      <c r="B538" s="289"/>
      <c r="C538" s="865">
        <v>18.978000000000002</v>
      </c>
      <c r="D538" s="865">
        <v>0</v>
      </c>
      <c r="E538" s="865">
        <v>0</v>
      </c>
      <c r="F538" s="865">
        <v>0</v>
      </c>
      <c r="G538" s="866">
        <v>0</v>
      </c>
      <c r="H538" s="866">
        <v>0</v>
      </c>
      <c r="I538" s="866">
        <v>0</v>
      </c>
      <c r="J538" s="866">
        <v>0</v>
      </c>
      <c r="K538" s="865">
        <v>0</v>
      </c>
      <c r="L538" s="866">
        <v>0</v>
      </c>
      <c r="M538" s="866">
        <v>0</v>
      </c>
      <c r="N538" s="866">
        <v>0</v>
      </c>
      <c r="O538" s="866">
        <v>0</v>
      </c>
      <c r="P538" s="865">
        <v>0</v>
      </c>
      <c r="Q538" s="866">
        <v>0</v>
      </c>
      <c r="R538" s="866">
        <v>0</v>
      </c>
      <c r="S538" s="866">
        <v>0</v>
      </c>
      <c r="T538" s="866">
        <v>0</v>
      </c>
      <c r="U538" s="865">
        <v>0</v>
      </c>
      <c r="V538" s="867"/>
      <c r="W538" s="867"/>
      <c r="X538" s="867"/>
      <c r="Y538" s="867">
        <f t="shared" si="476"/>
        <v>0</v>
      </c>
      <c r="Z538" s="864"/>
      <c r="AA538" s="867"/>
      <c r="AB538" s="867"/>
      <c r="AC538" s="867"/>
      <c r="AD538" s="867">
        <f t="shared" si="477"/>
        <v>0</v>
      </c>
      <c r="AE538" s="864"/>
      <c r="AF538" s="867"/>
      <c r="AG538" s="867"/>
      <c r="AH538" s="867"/>
      <c r="AI538" s="867">
        <f t="shared" si="478"/>
        <v>0</v>
      </c>
      <c r="AJ538" s="864"/>
      <c r="AK538" s="867"/>
      <c r="AL538" s="867"/>
      <c r="AM538" s="867"/>
      <c r="AN538" s="867">
        <f t="shared" si="479"/>
        <v>0</v>
      </c>
      <c r="AO538" s="864"/>
      <c r="AP538" s="867"/>
      <c r="AQ538" s="867"/>
      <c r="AR538" s="867"/>
      <c r="AS538" s="867">
        <f t="shared" si="480"/>
        <v>0</v>
      </c>
      <c r="AT538" s="864"/>
      <c r="AU538" s="867"/>
      <c r="AV538" s="867"/>
      <c r="AW538" s="868"/>
      <c r="AX538" s="867">
        <f t="shared" si="481"/>
        <v>0</v>
      </c>
      <c r="AY538" s="864"/>
      <c r="AZ538" s="867"/>
      <c r="BA538" s="867"/>
      <c r="BB538" s="867"/>
      <c r="BC538" s="867">
        <f t="shared" si="482"/>
        <v>0</v>
      </c>
      <c r="BD538" s="864"/>
      <c r="BE538" s="864"/>
      <c r="BF538" s="864"/>
      <c r="BG538" s="864"/>
      <c r="BH538" s="821"/>
    </row>
    <row r="539" spans="1:60" customFormat="1" hidden="1" outlineLevel="1" x14ac:dyDescent="0.25">
      <c r="A539" s="367" t="s">
        <v>175</v>
      </c>
      <c r="B539" s="289"/>
      <c r="C539" s="865">
        <v>-20</v>
      </c>
      <c r="D539" s="865">
        <v>0</v>
      </c>
      <c r="E539" s="865">
        <v>0</v>
      </c>
      <c r="F539" s="865">
        <v>0</v>
      </c>
      <c r="G539" s="866">
        <v>0</v>
      </c>
      <c r="H539" s="866">
        <v>0</v>
      </c>
      <c r="I539" s="866">
        <v>0</v>
      </c>
      <c r="J539" s="866">
        <v>0</v>
      </c>
      <c r="K539" s="865">
        <v>0</v>
      </c>
      <c r="L539" s="866">
        <v>0</v>
      </c>
      <c r="M539" s="866">
        <v>0</v>
      </c>
      <c r="N539" s="866">
        <v>0</v>
      </c>
      <c r="O539" s="866">
        <v>0</v>
      </c>
      <c r="P539" s="865">
        <v>0</v>
      </c>
      <c r="Q539" s="866">
        <v>0</v>
      </c>
      <c r="R539" s="866">
        <v>0</v>
      </c>
      <c r="S539" s="866">
        <v>0</v>
      </c>
      <c r="T539" s="866">
        <v>0</v>
      </c>
      <c r="U539" s="865">
        <v>0</v>
      </c>
      <c r="V539" s="867"/>
      <c r="W539" s="867"/>
      <c r="X539" s="867"/>
      <c r="Y539" s="867">
        <f t="shared" si="476"/>
        <v>0</v>
      </c>
      <c r="Z539" s="864"/>
      <c r="AA539" s="867"/>
      <c r="AB539" s="867"/>
      <c r="AC539" s="867"/>
      <c r="AD539" s="867">
        <f t="shared" si="477"/>
        <v>0</v>
      </c>
      <c r="AE539" s="864"/>
      <c r="AF539" s="867"/>
      <c r="AG539" s="867"/>
      <c r="AH539" s="867"/>
      <c r="AI539" s="867">
        <f t="shared" si="478"/>
        <v>0</v>
      </c>
      <c r="AJ539" s="864"/>
      <c r="AK539" s="867"/>
      <c r="AL539" s="867"/>
      <c r="AM539" s="867"/>
      <c r="AN539" s="867">
        <f t="shared" si="479"/>
        <v>0</v>
      </c>
      <c r="AO539" s="864"/>
      <c r="AP539" s="867"/>
      <c r="AQ539" s="867"/>
      <c r="AR539" s="867"/>
      <c r="AS539" s="867">
        <f t="shared" si="480"/>
        <v>0</v>
      </c>
      <c r="AT539" s="864"/>
      <c r="AU539" s="867"/>
      <c r="AV539" s="867"/>
      <c r="AW539" s="868"/>
      <c r="AX539" s="867">
        <f t="shared" si="481"/>
        <v>0</v>
      </c>
      <c r="AY539" s="864"/>
      <c r="AZ539" s="867"/>
      <c r="BA539" s="867"/>
      <c r="BB539" s="867"/>
      <c r="BC539" s="867">
        <f t="shared" si="482"/>
        <v>0</v>
      </c>
      <c r="BD539" s="864"/>
      <c r="BE539" s="864"/>
      <c r="BF539" s="864"/>
      <c r="BG539" s="864"/>
      <c r="BH539" s="821"/>
    </row>
    <row r="540" spans="1:60" s="57" customFormat="1" hidden="1" outlineLevel="1" x14ac:dyDescent="0.25">
      <c r="A540" s="367" t="s">
        <v>527</v>
      </c>
      <c r="B540" s="289"/>
      <c r="C540" s="864"/>
      <c r="D540" s="864"/>
      <c r="E540" s="864"/>
      <c r="F540" s="864"/>
      <c r="G540" s="867"/>
      <c r="H540" s="867"/>
      <c r="I540" s="867"/>
      <c r="J540" s="867"/>
      <c r="K540" s="864"/>
      <c r="L540" s="867"/>
      <c r="M540" s="867"/>
      <c r="N540" s="867"/>
      <c r="O540" s="867"/>
      <c r="P540" s="864"/>
      <c r="Q540" s="867"/>
      <c r="R540" s="867"/>
      <c r="S540" s="867"/>
      <c r="T540" s="867"/>
      <c r="U540" s="864"/>
      <c r="V540" s="867"/>
      <c r="W540" s="867"/>
      <c r="X540" s="867"/>
      <c r="Y540" s="867"/>
      <c r="Z540" s="864"/>
      <c r="AA540" s="867"/>
      <c r="AB540" s="867"/>
      <c r="AC540" s="867"/>
      <c r="AD540" s="867"/>
      <c r="AE540" s="864"/>
      <c r="AF540" s="867"/>
      <c r="AG540" s="867"/>
      <c r="AH540" s="867"/>
      <c r="AI540" s="867"/>
      <c r="AJ540" s="864"/>
      <c r="AK540" s="867"/>
      <c r="AL540" s="867"/>
      <c r="AM540" s="867"/>
      <c r="AN540" s="867"/>
      <c r="AO540" s="864"/>
      <c r="AP540" s="867"/>
      <c r="AQ540" s="867"/>
      <c r="AR540" s="867"/>
      <c r="AS540" s="867"/>
      <c r="AT540" s="864"/>
      <c r="AU540" s="867"/>
      <c r="AV540" s="867">
        <v>-500.02199999999999</v>
      </c>
      <c r="AW540" s="868">
        <v>-600.02200000000005</v>
      </c>
      <c r="AX540" s="867"/>
      <c r="AY540" s="864"/>
      <c r="AZ540" s="867"/>
      <c r="BA540" s="867"/>
      <c r="BB540" s="867"/>
      <c r="BC540" s="867"/>
      <c r="BD540" s="864"/>
      <c r="BE540" s="864"/>
      <c r="BF540" s="864"/>
      <c r="BG540" s="864"/>
      <c r="BH540" s="821"/>
    </row>
    <row r="541" spans="1:60" customFormat="1" hidden="1" outlineLevel="1" x14ac:dyDescent="0.25">
      <c r="A541" s="367" t="s">
        <v>176</v>
      </c>
      <c r="B541" s="289"/>
      <c r="C541" s="865">
        <v>0</v>
      </c>
      <c r="D541" s="865">
        <v>49.776000000000003</v>
      </c>
      <c r="E541" s="865">
        <v>0</v>
      </c>
      <c r="F541" s="865">
        <v>0</v>
      </c>
      <c r="G541" s="866">
        <v>0</v>
      </c>
      <c r="H541" s="866">
        <v>0</v>
      </c>
      <c r="I541" s="866">
        <v>0</v>
      </c>
      <c r="J541" s="866">
        <v>0</v>
      </c>
      <c r="K541" s="865">
        <v>0</v>
      </c>
      <c r="L541" s="866">
        <v>0</v>
      </c>
      <c r="M541" s="866">
        <v>0</v>
      </c>
      <c r="N541" s="866">
        <v>0</v>
      </c>
      <c r="O541" s="866">
        <v>0</v>
      </c>
      <c r="P541" s="865">
        <v>0</v>
      </c>
      <c r="Q541" s="866">
        <v>0</v>
      </c>
      <c r="R541" s="866">
        <v>0</v>
      </c>
      <c r="S541" s="866">
        <v>0</v>
      </c>
      <c r="T541" s="866">
        <v>0</v>
      </c>
      <c r="U541" s="865">
        <v>0</v>
      </c>
      <c r="V541" s="867"/>
      <c r="W541" s="867"/>
      <c r="X541" s="867"/>
      <c r="Y541" s="867">
        <f>Z541</f>
        <v>0</v>
      </c>
      <c r="Z541" s="864"/>
      <c r="AA541" s="867"/>
      <c r="AB541" s="867"/>
      <c r="AC541" s="867"/>
      <c r="AD541" s="867">
        <f>AE541</f>
        <v>0</v>
      </c>
      <c r="AE541" s="864"/>
      <c r="AF541" s="867"/>
      <c r="AG541" s="867"/>
      <c r="AH541" s="867"/>
      <c r="AI541" s="867">
        <f>AJ541</f>
        <v>0</v>
      </c>
      <c r="AJ541" s="864"/>
      <c r="AK541" s="867"/>
      <c r="AL541" s="867"/>
      <c r="AM541" s="867"/>
      <c r="AN541" s="867">
        <f>AO541</f>
        <v>0</v>
      </c>
      <c r="AO541" s="864"/>
      <c r="AP541" s="867"/>
      <c r="AQ541" s="867"/>
      <c r="AR541" s="867"/>
      <c r="AS541" s="867">
        <f>AT541</f>
        <v>0</v>
      </c>
      <c r="AT541" s="864"/>
      <c r="AU541" s="867"/>
      <c r="AV541" s="867"/>
      <c r="AW541" s="868"/>
      <c r="AX541" s="867">
        <f>AY541</f>
        <v>0</v>
      </c>
      <c r="AY541" s="864"/>
      <c r="AZ541" s="867"/>
      <c r="BA541" s="867"/>
      <c r="BB541" s="867"/>
      <c r="BC541" s="867">
        <f>BD541</f>
        <v>0</v>
      </c>
      <c r="BD541" s="864"/>
      <c r="BE541" s="864"/>
      <c r="BF541" s="864"/>
      <c r="BG541" s="864"/>
      <c r="BH541" s="821"/>
    </row>
    <row r="542" spans="1:60" customFormat="1" hidden="1" outlineLevel="1" x14ac:dyDescent="0.25">
      <c r="A542" s="367" t="s">
        <v>177</v>
      </c>
      <c r="B542" s="289"/>
      <c r="C542" s="864"/>
      <c r="D542" s="864"/>
      <c r="E542" s="864"/>
      <c r="F542" s="864"/>
      <c r="G542" s="867"/>
      <c r="H542" s="867"/>
      <c r="I542" s="867"/>
      <c r="J542" s="867"/>
      <c r="K542" s="864"/>
      <c r="L542" s="867"/>
      <c r="M542" s="867"/>
      <c r="N542" s="867"/>
      <c r="O542" s="867"/>
      <c r="P542" s="864"/>
      <c r="Q542" s="867"/>
      <c r="R542" s="867"/>
      <c r="S542" s="867"/>
      <c r="T542" s="867"/>
      <c r="U542" s="864"/>
      <c r="V542" s="867"/>
      <c r="W542" s="867"/>
      <c r="X542" s="867"/>
      <c r="Y542" s="866">
        <f>Z542</f>
        <v>0</v>
      </c>
      <c r="Z542" s="864"/>
      <c r="AA542" s="867"/>
      <c r="AB542" s="867"/>
      <c r="AC542" s="867"/>
      <c r="AD542" s="866">
        <f>AE542</f>
        <v>0</v>
      </c>
      <c r="AE542" s="864"/>
      <c r="AF542" s="867"/>
      <c r="AG542" s="867"/>
      <c r="AH542" s="867"/>
      <c r="AI542" s="866">
        <f>AJ542</f>
        <v>0</v>
      </c>
      <c r="AJ542" s="864"/>
      <c r="AK542" s="867"/>
      <c r="AL542" s="867"/>
      <c r="AM542" s="867"/>
      <c r="AN542" s="866">
        <f>AO542</f>
        <v>0</v>
      </c>
      <c r="AO542" s="864"/>
      <c r="AP542" s="867"/>
      <c r="AQ542" s="867"/>
      <c r="AR542" s="867"/>
      <c r="AS542" s="866">
        <f>AT542</f>
        <v>0</v>
      </c>
      <c r="AT542" s="864"/>
      <c r="AU542" s="867"/>
      <c r="AV542" s="867"/>
      <c r="AW542" s="868"/>
      <c r="AX542" s="866">
        <f>AY542</f>
        <v>0</v>
      </c>
      <c r="AY542" s="864"/>
      <c r="AZ542" s="867"/>
      <c r="BA542" s="867"/>
      <c r="BB542" s="867"/>
      <c r="BC542" s="866">
        <f>BD542</f>
        <v>0</v>
      </c>
      <c r="BD542" s="864"/>
      <c r="BE542" s="864"/>
      <c r="BF542" s="864"/>
      <c r="BG542" s="864"/>
      <c r="BH542" s="821"/>
    </row>
    <row r="543" spans="1:60" customFormat="1" hidden="1" outlineLevel="1" x14ac:dyDescent="0.25">
      <c r="A543" s="367" t="s">
        <v>178</v>
      </c>
      <c r="B543" s="289"/>
      <c r="C543" s="865">
        <v>-1.1579999999999999</v>
      </c>
      <c r="D543" s="865">
        <v>-1.776</v>
      </c>
      <c r="E543" s="865">
        <v>-2.0830000000000002</v>
      </c>
      <c r="F543" s="865">
        <v>-2.319</v>
      </c>
      <c r="G543" s="866">
        <v>-0.40300000000000002</v>
      </c>
      <c r="H543" s="866">
        <v>-0.65800000000000003</v>
      </c>
      <c r="I543" s="866">
        <v>-0.91600000000000004</v>
      </c>
      <c r="J543" s="866">
        <v>-1.18</v>
      </c>
      <c r="K543" s="865">
        <v>-1.18</v>
      </c>
      <c r="L543" s="866">
        <v>-0.26700000000000002</v>
      </c>
      <c r="M543" s="866">
        <v>-0.53800000000000003</v>
      </c>
      <c r="N543" s="866">
        <v>-0.81299999999999994</v>
      </c>
      <c r="O543" s="866">
        <v>-1.093</v>
      </c>
      <c r="P543" s="865">
        <v>-1.093</v>
      </c>
      <c r="Q543" s="866">
        <v>-0.251</v>
      </c>
      <c r="R543" s="866">
        <v>-0.53800000000000003</v>
      </c>
      <c r="S543" s="866">
        <v>-0.59899999999999998</v>
      </c>
      <c r="T543" s="866">
        <v>-0.54500000000000004</v>
      </c>
      <c r="U543" s="865">
        <v>-0.54500000000000004</v>
      </c>
      <c r="V543" s="867"/>
      <c r="W543" s="867"/>
      <c r="X543" s="867"/>
      <c r="Y543" s="867">
        <f>Z543</f>
        <v>0</v>
      </c>
      <c r="Z543" s="864"/>
      <c r="AA543" s="867"/>
      <c r="AB543" s="867"/>
      <c r="AC543" s="867"/>
      <c r="AD543" s="867">
        <f>AE543</f>
        <v>0</v>
      </c>
      <c r="AE543" s="864"/>
      <c r="AF543" s="867"/>
      <c r="AG543" s="867"/>
      <c r="AH543" s="867"/>
      <c r="AI543" s="867">
        <f>AJ543</f>
        <v>0</v>
      </c>
      <c r="AJ543" s="864"/>
      <c r="AK543" s="867"/>
      <c r="AL543" s="867"/>
      <c r="AM543" s="867"/>
      <c r="AN543" s="867">
        <f>AO543</f>
        <v>0</v>
      </c>
      <c r="AO543" s="864"/>
      <c r="AP543" s="867"/>
      <c r="AQ543" s="867"/>
      <c r="AR543" s="867"/>
      <c r="AS543" s="867">
        <f>AT543</f>
        <v>0</v>
      </c>
      <c r="AT543" s="864"/>
      <c r="AU543" s="867"/>
      <c r="AV543" s="867"/>
      <c r="AW543" s="868"/>
      <c r="AX543" s="867">
        <f>AY543</f>
        <v>0</v>
      </c>
      <c r="AY543" s="864"/>
      <c r="AZ543" s="867"/>
      <c r="BA543" s="867"/>
      <c r="BB543" s="867"/>
      <c r="BC543" s="867">
        <f>BD543</f>
        <v>0</v>
      </c>
      <c r="BD543" s="864"/>
      <c r="BE543" s="864"/>
      <c r="BF543" s="864"/>
      <c r="BG543" s="864"/>
      <c r="BH543" s="821"/>
    </row>
    <row r="544" spans="1:60" customFormat="1" hidden="1" outlineLevel="1" x14ac:dyDescent="0.25">
      <c r="A544" s="113" t="s">
        <v>179</v>
      </c>
      <c r="B544" s="441"/>
      <c r="C544" s="881"/>
      <c r="D544" s="881"/>
      <c r="E544" s="881"/>
      <c r="F544" s="881"/>
      <c r="G544" s="882"/>
      <c r="H544" s="882"/>
      <c r="I544" s="882"/>
      <c r="J544" s="882"/>
      <c r="K544" s="881"/>
      <c r="L544" s="882"/>
      <c r="M544" s="882"/>
      <c r="N544" s="882"/>
      <c r="O544" s="882"/>
      <c r="P544" s="881"/>
      <c r="Q544" s="882"/>
      <c r="R544" s="882"/>
      <c r="S544" s="882"/>
      <c r="T544" s="882"/>
      <c r="U544" s="881"/>
      <c r="V544" s="885">
        <v>5.5E-2</v>
      </c>
      <c r="W544" s="885">
        <v>0.112</v>
      </c>
      <c r="X544" s="885">
        <v>0.17</v>
      </c>
      <c r="Y544" s="885">
        <f>Z544</f>
        <v>0.23</v>
      </c>
      <c r="Z544" s="886">
        <v>0.23</v>
      </c>
      <c r="AA544" s="885">
        <v>6.0999999999999999E-2</v>
      </c>
      <c r="AB544" s="885">
        <v>0.124</v>
      </c>
      <c r="AC544" s="885">
        <v>0.189</v>
      </c>
      <c r="AD544" s="885">
        <f>AE544</f>
        <v>0.255</v>
      </c>
      <c r="AE544" s="886">
        <v>0.255</v>
      </c>
      <c r="AF544" s="885">
        <v>-0.32100000000000001</v>
      </c>
      <c r="AG544" s="885">
        <v>-0.85299999999999998</v>
      </c>
      <c r="AH544" s="885">
        <v>-1.397</v>
      </c>
      <c r="AI544" s="885">
        <f>AJ544</f>
        <v>-1.956</v>
      </c>
      <c r="AJ544" s="886">
        <v>-1.956</v>
      </c>
      <c r="AK544" s="882"/>
      <c r="AL544" s="882"/>
      <c r="AM544" s="882"/>
      <c r="AN544" s="885">
        <f>AO544</f>
        <v>0</v>
      </c>
      <c r="AO544" s="886">
        <v>0</v>
      </c>
      <c r="AP544" s="882"/>
      <c r="AQ544" s="882"/>
      <c r="AR544" s="882"/>
      <c r="AS544" s="885">
        <f>AT544</f>
        <v>0</v>
      </c>
      <c r="AT544" s="881"/>
      <c r="AU544" s="882"/>
      <c r="AV544" s="882"/>
      <c r="AW544" s="883"/>
      <c r="AX544" s="885">
        <f>AY544</f>
        <v>0</v>
      </c>
      <c r="AY544" s="881"/>
      <c r="AZ544" s="882"/>
      <c r="BA544" s="882"/>
      <c r="BB544" s="882"/>
      <c r="BC544" s="885">
        <f>BD544</f>
        <v>0</v>
      </c>
      <c r="BD544" s="881"/>
      <c r="BE544" s="881"/>
      <c r="BF544" s="881"/>
      <c r="BG544" s="881"/>
      <c r="BH544" s="821"/>
    </row>
    <row r="545" spans="1:60" customFormat="1" hidden="1" outlineLevel="1" x14ac:dyDescent="0.25">
      <c r="A545" s="61" t="s">
        <v>180</v>
      </c>
      <c r="B545" s="505"/>
      <c r="C545" s="872">
        <f t="shared" ref="C545:AH545" si="483">SUM(C531:C544)</f>
        <v>-84.640999999999977</v>
      </c>
      <c r="D545" s="872">
        <f t="shared" si="483"/>
        <v>-100.04499999999997</v>
      </c>
      <c r="E545" s="872">
        <f t="shared" si="483"/>
        <v>261.65599999999995</v>
      </c>
      <c r="F545" s="872">
        <f t="shared" si="483"/>
        <v>5.5889999999999995</v>
      </c>
      <c r="G545" s="871">
        <f t="shared" si="483"/>
        <v>321.58199999999999</v>
      </c>
      <c r="H545" s="871">
        <f t="shared" si="483"/>
        <v>370.541</v>
      </c>
      <c r="I545" s="871">
        <f t="shared" si="483"/>
        <v>416.33600000000007</v>
      </c>
      <c r="J545" s="871">
        <f t="shared" si="483"/>
        <v>476.26400000000007</v>
      </c>
      <c r="K545" s="872">
        <f t="shared" si="483"/>
        <v>476.26400000000007</v>
      </c>
      <c r="L545" s="871">
        <f t="shared" si="483"/>
        <v>458.18599999999998</v>
      </c>
      <c r="M545" s="871">
        <f t="shared" si="483"/>
        <v>486.65900000000005</v>
      </c>
      <c r="N545" s="871">
        <f t="shared" si="483"/>
        <v>517.32100000000003</v>
      </c>
      <c r="O545" s="871">
        <f t="shared" si="483"/>
        <v>541.71199999999999</v>
      </c>
      <c r="P545" s="872">
        <f t="shared" si="483"/>
        <v>541.71199999999999</v>
      </c>
      <c r="Q545" s="871">
        <f t="shared" si="483"/>
        <v>1522.434</v>
      </c>
      <c r="R545" s="871">
        <f t="shared" si="483"/>
        <v>1584.9810000000002</v>
      </c>
      <c r="S545" s="871">
        <f t="shared" si="483"/>
        <v>1657.7350000000001</v>
      </c>
      <c r="T545" s="871">
        <f t="shared" si="483"/>
        <v>1640.277</v>
      </c>
      <c r="U545" s="872">
        <f t="shared" si="483"/>
        <v>1640.277</v>
      </c>
      <c r="V545" s="871">
        <f t="shared" si="483"/>
        <v>14.907</v>
      </c>
      <c r="W545" s="871">
        <f t="shared" si="483"/>
        <v>32.518999999999998</v>
      </c>
      <c r="X545" s="871">
        <f t="shared" si="483"/>
        <v>49.158000000000001</v>
      </c>
      <c r="Y545" s="870">
        <f t="shared" si="483"/>
        <v>1091.6300000000001</v>
      </c>
      <c r="Z545" s="869">
        <f t="shared" si="483"/>
        <v>1091.6300000000001</v>
      </c>
      <c r="AA545" s="871">
        <f t="shared" si="483"/>
        <v>24.239000000000001</v>
      </c>
      <c r="AB545" s="871">
        <f t="shared" si="483"/>
        <v>1444.625</v>
      </c>
      <c r="AC545" s="871">
        <f t="shared" si="483"/>
        <v>1479.047</v>
      </c>
      <c r="AD545" s="870">
        <f t="shared" si="483"/>
        <v>3076.9900000000007</v>
      </c>
      <c r="AE545" s="869">
        <f t="shared" si="483"/>
        <v>3076.9900000000007</v>
      </c>
      <c r="AF545" s="871">
        <f t="shared" si="483"/>
        <v>56.014000000000003</v>
      </c>
      <c r="AG545" s="871">
        <f t="shared" si="483"/>
        <v>1965.4259999999999</v>
      </c>
      <c r="AH545" s="871">
        <f t="shared" si="483"/>
        <v>1994.663</v>
      </c>
      <c r="AI545" s="870">
        <f t="shared" ref="AI545:AY545" si="484">SUM(AI531:AI544)</f>
        <v>4048.5269999999996</v>
      </c>
      <c r="AJ545" s="869">
        <f t="shared" si="484"/>
        <v>4048.5269999999996</v>
      </c>
      <c r="AK545" s="871">
        <f t="shared" si="484"/>
        <v>22.972000000000001</v>
      </c>
      <c r="AL545" s="871">
        <f t="shared" si="484"/>
        <v>2269.8719999999998</v>
      </c>
      <c r="AM545" s="871">
        <f t="shared" si="484"/>
        <v>2281.8609999999999</v>
      </c>
      <c r="AN545" s="870">
        <f t="shared" si="484"/>
        <v>4505.6619999999994</v>
      </c>
      <c r="AO545" s="869">
        <f t="shared" si="484"/>
        <v>4505.6619999999994</v>
      </c>
      <c r="AP545" s="871">
        <f t="shared" si="484"/>
        <v>43.694000000000003</v>
      </c>
      <c r="AQ545" s="871">
        <f t="shared" si="484"/>
        <v>1134.6590000000001</v>
      </c>
      <c r="AR545" s="871">
        <f>SUM(AR531:AR544)</f>
        <v>1203.3240000000001</v>
      </c>
      <c r="AS545" s="870">
        <f>SUM(AS531:AS544)</f>
        <v>1237.3110000000001</v>
      </c>
      <c r="AT545" s="869">
        <f>SUM(AT531:AT544)</f>
        <v>1237.3110000000001</v>
      </c>
      <c r="AU545" s="871">
        <f t="shared" ref="AU545" si="485">SUM(AU531:AU544)</f>
        <v>-451.92899999999997</v>
      </c>
      <c r="AV545" s="871">
        <f>SUM(AV531:AV544)</f>
        <v>-932.202</v>
      </c>
      <c r="AW545" s="873">
        <f>SUM(AW531:AW544)</f>
        <v>-1013.7570000000001</v>
      </c>
      <c r="AX545" s="870">
        <f t="shared" si="484"/>
        <v>0</v>
      </c>
      <c r="AY545" s="869">
        <f t="shared" si="484"/>
        <v>0</v>
      </c>
      <c r="AZ545" s="870">
        <f t="shared" ref="AZ545:BG545" si="486">SUM(AZ531:AZ544)</f>
        <v>0</v>
      </c>
      <c r="BA545" s="870">
        <f t="shared" si="486"/>
        <v>0</v>
      </c>
      <c r="BB545" s="870">
        <f t="shared" si="486"/>
        <v>0</v>
      </c>
      <c r="BC545" s="870">
        <f t="shared" si="486"/>
        <v>0</v>
      </c>
      <c r="BD545" s="869">
        <f t="shared" si="486"/>
        <v>0</v>
      </c>
      <c r="BE545" s="869">
        <f t="shared" si="486"/>
        <v>0</v>
      </c>
      <c r="BF545" s="869">
        <f t="shared" si="486"/>
        <v>0</v>
      </c>
      <c r="BG545" s="869">
        <f t="shared" si="486"/>
        <v>0</v>
      </c>
      <c r="BH545" s="824"/>
    </row>
    <row r="546" spans="1:60" customFormat="1" hidden="1" outlineLevel="1" x14ac:dyDescent="0.25">
      <c r="A546" s="494"/>
      <c r="B546" s="423"/>
      <c r="C546" s="874"/>
      <c r="D546" s="874"/>
      <c r="E546" s="874"/>
      <c r="F546" s="874"/>
      <c r="G546" s="879"/>
      <c r="H546" s="879"/>
      <c r="I546" s="879"/>
      <c r="J546" s="879"/>
      <c r="K546" s="874"/>
      <c r="L546" s="879"/>
      <c r="M546" s="879"/>
      <c r="N546" s="879"/>
      <c r="O546" s="879"/>
      <c r="P546" s="874"/>
      <c r="Q546" s="879"/>
      <c r="R546" s="879"/>
      <c r="S546" s="879"/>
      <c r="T546" s="879"/>
      <c r="U546" s="874"/>
      <c r="V546" s="879"/>
      <c r="W546" s="879"/>
      <c r="X546" s="879"/>
      <c r="Y546" s="879"/>
      <c r="Z546" s="874"/>
      <c r="AA546" s="879"/>
      <c r="AB546" s="879"/>
      <c r="AC546" s="879"/>
      <c r="AD546" s="879"/>
      <c r="AE546" s="874"/>
      <c r="AF546" s="879"/>
      <c r="AG546" s="879"/>
      <c r="AH546" s="879"/>
      <c r="AI546" s="879"/>
      <c r="AJ546" s="874"/>
      <c r="AK546" s="879"/>
      <c r="AL546" s="879"/>
      <c r="AM546" s="879"/>
      <c r="AN546" s="879"/>
      <c r="AO546" s="874"/>
      <c r="AP546" s="879"/>
      <c r="AQ546" s="879"/>
      <c r="AR546" s="879"/>
      <c r="AS546" s="879"/>
      <c r="AT546" s="874"/>
      <c r="AU546" s="879"/>
      <c r="AV546" s="879"/>
      <c r="AW546" s="880"/>
      <c r="AX546" s="879"/>
      <c r="AY546" s="874"/>
      <c r="AZ546" s="879"/>
      <c r="BA546" s="879"/>
      <c r="BB546" s="879"/>
      <c r="BC546" s="879"/>
      <c r="BD546" s="874"/>
      <c r="BE546" s="874"/>
      <c r="BF546" s="874"/>
      <c r="BG546" s="874"/>
      <c r="BH546" s="824"/>
    </row>
    <row r="547" spans="1:60" customFormat="1" hidden="1" outlineLevel="1" x14ac:dyDescent="0.25">
      <c r="A547" s="63" t="s">
        <v>181</v>
      </c>
      <c r="B547" s="423"/>
      <c r="C547" s="875">
        <v>0</v>
      </c>
      <c r="D547" s="875">
        <v>0</v>
      </c>
      <c r="E547" s="875">
        <v>0</v>
      </c>
      <c r="F547" s="875">
        <v>-0.19700000000000001</v>
      </c>
      <c r="G547" s="876">
        <v>-2.3359999999999999</v>
      </c>
      <c r="H547" s="876">
        <v>-4.9260000000000002</v>
      </c>
      <c r="I547" s="876">
        <v>-3.367</v>
      </c>
      <c r="J547" s="876">
        <v>-3.4529999999999998</v>
      </c>
      <c r="K547" s="875">
        <v>-3.4529999999999998</v>
      </c>
      <c r="L547" s="876">
        <v>0.30099999999999999</v>
      </c>
      <c r="M547" s="876">
        <v>1.5509999999999999</v>
      </c>
      <c r="N547" s="876">
        <v>-2.2879999999999998</v>
      </c>
      <c r="O547" s="876">
        <v>-6.6859999999999999</v>
      </c>
      <c r="P547" s="875">
        <v>-6.6859999999999999</v>
      </c>
      <c r="Q547" s="876">
        <v>-11.061</v>
      </c>
      <c r="R547" s="876">
        <v>-4.84</v>
      </c>
      <c r="S547" s="876">
        <v>-12.581</v>
      </c>
      <c r="T547" s="876">
        <v>-15.923999999999999</v>
      </c>
      <c r="U547" s="875">
        <v>-15.923999999999999</v>
      </c>
      <c r="V547" s="876">
        <v>5.3339999999999996</v>
      </c>
      <c r="W547" s="876">
        <v>2.5920000000000001</v>
      </c>
      <c r="X547" s="876">
        <v>2.1509999999999998</v>
      </c>
      <c r="Y547" s="879">
        <f>Z547</f>
        <v>-9.1649999999999991</v>
      </c>
      <c r="Z547" s="875">
        <v>-9.1649999999999991</v>
      </c>
      <c r="AA547" s="876">
        <v>5.4550000000000001</v>
      </c>
      <c r="AB547" s="876">
        <v>16.981999999999999</v>
      </c>
      <c r="AC547" s="876">
        <v>27.667000000000002</v>
      </c>
      <c r="AD547" s="879">
        <f>AE547</f>
        <v>29.847999999999999</v>
      </c>
      <c r="AE547" s="875">
        <v>29.847999999999999</v>
      </c>
      <c r="AF547" s="876">
        <v>7.1769999999999996</v>
      </c>
      <c r="AG547" s="876">
        <v>-29.163</v>
      </c>
      <c r="AH547" s="876">
        <v>-34.725000000000001</v>
      </c>
      <c r="AI547" s="879">
        <f>AJ547</f>
        <v>-39.682000000000002</v>
      </c>
      <c r="AJ547" s="875">
        <v>-39.682000000000002</v>
      </c>
      <c r="AK547" s="876">
        <v>-5.0140000000000002</v>
      </c>
      <c r="AL547" s="876">
        <v>-1.6E-2</v>
      </c>
      <c r="AM547" s="876">
        <v>-29.341000000000001</v>
      </c>
      <c r="AN547" s="879">
        <f>AO547</f>
        <v>0.46899999999999997</v>
      </c>
      <c r="AO547" s="875">
        <v>0.46899999999999997</v>
      </c>
      <c r="AP547" s="876">
        <v>-70.902000000000001</v>
      </c>
      <c r="AQ547" s="876">
        <v>-59.082999999999998</v>
      </c>
      <c r="AR547" s="876">
        <v>-30.623999999999999</v>
      </c>
      <c r="AS547" s="879">
        <f>AT547</f>
        <v>36.049999999999997</v>
      </c>
      <c r="AT547" s="875">
        <v>36.049999999999997</v>
      </c>
      <c r="AU547" s="876">
        <v>-42.137999999999998</v>
      </c>
      <c r="AV547" s="876">
        <v>-18.661000000000001</v>
      </c>
      <c r="AW547" s="877">
        <v>-82.504000000000005</v>
      </c>
      <c r="AX547" s="879">
        <f>AY547</f>
        <v>0</v>
      </c>
      <c r="AY547" s="874"/>
      <c r="AZ547" s="879"/>
      <c r="BA547" s="879"/>
      <c r="BB547" s="879"/>
      <c r="BC547" s="879">
        <f>BD547</f>
        <v>0</v>
      </c>
      <c r="BD547" s="874"/>
      <c r="BE547" s="874"/>
      <c r="BF547" s="874"/>
      <c r="BG547" s="874"/>
      <c r="BH547" s="824"/>
    </row>
    <row r="548" spans="1:60" customFormat="1" hidden="1" outlineLevel="1" x14ac:dyDescent="0.25">
      <c r="A548" s="63" t="s">
        <v>182</v>
      </c>
      <c r="B548" s="423"/>
      <c r="C548" s="875">
        <f t="shared" ref="C548:AH548" si="487">C545+C528+C515+C547</f>
        <v>-5.6569999999999823</v>
      </c>
      <c r="D548" s="875">
        <f t="shared" si="487"/>
        <v>60.275000000000034</v>
      </c>
      <c r="E548" s="875">
        <f t="shared" si="487"/>
        <v>313.55400000000014</v>
      </c>
      <c r="F548" s="875">
        <f t="shared" si="487"/>
        <v>-217.76199999999983</v>
      </c>
      <c r="G548" s="876">
        <f t="shared" si="487"/>
        <v>127.75999999999995</v>
      </c>
      <c r="H548" s="876">
        <f t="shared" si="487"/>
        <v>80.387000000000043</v>
      </c>
      <c r="I548" s="876">
        <f t="shared" si="487"/>
        <v>148.76500000000013</v>
      </c>
      <c r="J548" s="876">
        <f t="shared" si="487"/>
        <v>314.67400000000021</v>
      </c>
      <c r="K548" s="875">
        <f t="shared" si="487"/>
        <v>314.67400000000021</v>
      </c>
      <c r="L548" s="876">
        <f t="shared" si="487"/>
        <v>552.48500000000013</v>
      </c>
      <c r="M548" s="876">
        <f t="shared" si="487"/>
        <v>609.27900000000011</v>
      </c>
      <c r="N548" s="876">
        <f t="shared" si="487"/>
        <v>578.25199999999984</v>
      </c>
      <c r="O548" s="876">
        <f t="shared" si="487"/>
        <v>508.6430000000002</v>
      </c>
      <c r="P548" s="875">
        <f t="shared" si="487"/>
        <v>508.6430000000002</v>
      </c>
      <c r="Q548" s="876">
        <f t="shared" si="487"/>
        <v>1341.1690000000001</v>
      </c>
      <c r="R548" s="876">
        <f t="shared" si="487"/>
        <v>1180.2640000000004</v>
      </c>
      <c r="S548" s="876">
        <f t="shared" si="487"/>
        <v>1001.8290000000001</v>
      </c>
      <c r="T548" s="876">
        <f t="shared" si="487"/>
        <v>695.72200000000021</v>
      </c>
      <c r="U548" s="875">
        <f t="shared" si="487"/>
        <v>695.72200000000021</v>
      </c>
      <c r="V548" s="876">
        <f t="shared" si="487"/>
        <v>-204.08600000000041</v>
      </c>
      <c r="W548" s="876">
        <f t="shared" si="487"/>
        <v>-418.40499999999946</v>
      </c>
      <c r="X548" s="876">
        <f t="shared" si="487"/>
        <v>-840.1719999999998</v>
      </c>
      <c r="Y548" s="879">
        <f t="shared" si="487"/>
        <v>-341.7540000000011</v>
      </c>
      <c r="Z548" s="874">
        <f t="shared" si="487"/>
        <v>-341.7540000000011</v>
      </c>
      <c r="AA548" s="876">
        <f t="shared" si="487"/>
        <v>-389.7519999999999</v>
      </c>
      <c r="AB548" s="876">
        <f t="shared" si="487"/>
        <v>451.20099999999957</v>
      </c>
      <c r="AC548" s="876">
        <f t="shared" si="487"/>
        <v>278.89300000000014</v>
      </c>
      <c r="AD548" s="879">
        <f t="shared" si="487"/>
        <v>1355.2189999999996</v>
      </c>
      <c r="AE548" s="874">
        <f t="shared" si="487"/>
        <v>1355.2189999999996</v>
      </c>
      <c r="AF548" s="876">
        <f t="shared" si="487"/>
        <v>-223.31799999999927</v>
      </c>
      <c r="AG548" s="876">
        <f t="shared" si="487"/>
        <v>1091.1990000000005</v>
      </c>
      <c r="AH548" s="876">
        <f t="shared" si="487"/>
        <v>255.7690000000006</v>
      </c>
      <c r="AI548" s="879">
        <f t="shared" ref="AI548:AY548" si="488">AI545+AI528+AI515+AI547</f>
        <v>989.24599999999896</v>
      </c>
      <c r="AJ548" s="874">
        <f t="shared" si="488"/>
        <v>989.24599999999896</v>
      </c>
      <c r="AK548" s="876">
        <f t="shared" si="488"/>
        <v>-441.94399999999973</v>
      </c>
      <c r="AL548" s="876">
        <f t="shared" si="488"/>
        <v>1216.1639999999991</v>
      </c>
      <c r="AM548" s="876">
        <f t="shared" si="488"/>
        <v>647.68000000000063</v>
      </c>
      <c r="AN548" s="879">
        <f t="shared" si="488"/>
        <v>1231.7449999999963</v>
      </c>
      <c r="AO548" s="874">
        <f t="shared" si="488"/>
        <v>1231.7449999999963</v>
      </c>
      <c r="AP548" s="876">
        <f t="shared" si="488"/>
        <v>134.40100000000029</v>
      </c>
      <c r="AQ548" s="876">
        <f t="shared" si="488"/>
        <v>2136.2600000000002</v>
      </c>
      <c r="AR548" s="876">
        <f>AR545+AR528+AR515+AR547</f>
        <v>3378.4940000000011</v>
      </c>
      <c r="AS548" s="879">
        <f>AS545+AS528+AS515+AS547</f>
        <v>3195.0839999999998</v>
      </c>
      <c r="AT548" s="874">
        <f>AT545+AT528+AT515+AT547</f>
        <v>3195.0839999999998</v>
      </c>
      <c r="AU548" s="876">
        <f t="shared" ref="AU548" si="489">AU545+AU528+AU515+AU547</f>
        <v>197.58299999999977</v>
      </c>
      <c r="AV548" s="876">
        <f>AV545+AV528+AV515+AV547</f>
        <v>-434.25199999999967</v>
      </c>
      <c r="AW548" s="877">
        <f>AW545+AW528+AW515+AW547</f>
        <v>-685.90200000000084</v>
      </c>
      <c r="AX548" s="879">
        <f t="shared" si="488"/>
        <v>0</v>
      </c>
      <c r="AY548" s="874">
        <f t="shared" si="488"/>
        <v>0</v>
      </c>
      <c r="AZ548" s="879">
        <f t="shared" ref="AZ548:BG548" si="490">AZ545+AZ528+AZ515+AZ547</f>
        <v>0</v>
      </c>
      <c r="BA548" s="879">
        <f t="shared" si="490"/>
        <v>0</v>
      </c>
      <c r="BB548" s="879">
        <f t="shared" si="490"/>
        <v>0</v>
      </c>
      <c r="BC548" s="879">
        <f t="shared" si="490"/>
        <v>0</v>
      </c>
      <c r="BD548" s="874">
        <f t="shared" si="490"/>
        <v>0</v>
      </c>
      <c r="BE548" s="874">
        <f t="shared" si="490"/>
        <v>0</v>
      </c>
      <c r="BF548" s="874">
        <f t="shared" si="490"/>
        <v>0</v>
      </c>
      <c r="BG548" s="874">
        <f t="shared" si="490"/>
        <v>0</v>
      </c>
      <c r="BH548" s="824"/>
    </row>
    <row r="549" spans="1:60" customFormat="1" hidden="1" outlineLevel="1" x14ac:dyDescent="0.25">
      <c r="A549" s="494"/>
      <c r="B549" s="423"/>
      <c r="C549" s="874"/>
      <c r="D549" s="874"/>
      <c r="E549" s="874"/>
      <c r="F549" s="874"/>
      <c r="G549" s="879"/>
      <c r="H549" s="879"/>
      <c r="I549" s="879"/>
      <c r="J549" s="879"/>
      <c r="K549" s="874"/>
      <c r="L549" s="879"/>
      <c r="M549" s="879"/>
      <c r="N549" s="879"/>
      <c r="O549" s="879"/>
      <c r="P549" s="874"/>
      <c r="Q549" s="879"/>
      <c r="R549" s="879"/>
      <c r="S549" s="879"/>
      <c r="T549" s="879"/>
      <c r="U549" s="874"/>
      <c r="V549" s="879"/>
      <c r="W549" s="879"/>
      <c r="X549" s="879"/>
      <c r="Y549" s="879"/>
      <c r="Z549" s="874"/>
      <c r="AA549" s="879"/>
      <c r="AB549" s="879"/>
      <c r="AC549" s="879"/>
      <c r="AD549" s="879"/>
      <c r="AE549" s="874"/>
      <c r="AF549" s="879"/>
      <c r="AG549" s="879"/>
      <c r="AH549" s="879"/>
      <c r="AI549" s="879"/>
      <c r="AJ549" s="874"/>
      <c r="AK549" s="879"/>
      <c r="AL549" s="879"/>
      <c r="AM549" s="879"/>
      <c r="AN549" s="879"/>
      <c r="AO549" s="874"/>
      <c r="AP549" s="879"/>
      <c r="AQ549" s="879"/>
      <c r="AR549" s="879"/>
      <c r="AS549" s="879"/>
      <c r="AT549" s="874"/>
      <c r="AU549" s="879"/>
      <c r="AV549" s="879"/>
      <c r="AW549" s="880"/>
      <c r="AX549" s="879"/>
      <c r="AY549" s="874"/>
      <c r="AZ549" s="879"/>
      <c r="BA549" s="879"/>
      <c r="BB549" s="879"/>
      <c r="BC549" s="879"/>
      <c r="BD549" s="874"/>
      <c r="BE549" s="874"/>
      <c r="BF549" s="874"/>
      <c r="BG549" s="874"/>
      <c r="BH549" s="824"/>
    </row>
    <row r="550" spans="1:60" customFormat="1" hidden="1" outlineLevel="1" x14ac:dyDescent="0.25">
      <c r="A550" s="63" t="s">
        <v>183</v>
      </c>
      <c r="B550" s="423"/>
      <c r="C550" s="875">
        <v>139.881</v>
      </c>
      <c r="D550" s="875">
        <f>C551</f>
        <v>134.22400000000002</v>
      </c>
      <c r="E550" s="875">
        <f>D551</f>
        <v>194.49900000000005</v>
      </c>
      <c r="F550" s="875">
        <f>E551</f>
        <v>508.05300000000022</v>
      </c>
      <c r="G550" s="876">
        <f>F551</f>
        <v>290.29100000000039</v>
      </c>
      <c r="H550" s="876">
        <f>G550</f>
        <v>290.29100000000039</v>
      </c>
      <c r="I550" s="876">
        <f>H550</f>
        <v>290.29100000000039</v>
      </c>
      <c r="J550" s="876">
        <f>I550</f>
        <v>290.29100000000039</v>
      </c>
      <c r="K550" s="875">
        <f>J550</f>
        <v>290.29100000000039</v>
      </c>
      <c r="L550" s="876">
        <f>K551</f>
        <v>604.9650000000006</v>
      </c>
      <c r="M550" s="876">
        <f>L550</f>
        <v>604.9650000000006</v>
      </c>
      <c r="N550" s="876">
        <f>M550</f>
        <v>604.9650000000006</v>
      </c>
      <c r="O550" s="876">
        <f>N550</f>
        <v>604.9650000000006</v>
      </c>
      <c r="P550" s="875">
        <f>O550</f>
        <v>604.9650000000006</v>
      </c>
      <c r="Q550" s="876">
        <f>P551</f>
        <v>1113.6080000000009</v>
      </c>
      <c r="R550" s="876">
        <f>Q550</f>
        <v>1113.6080000000009</v>
      </c>
      <c r="S550" s="876">
        <f>R550</f>
        <v>1113.6080000000009</v>
      </c>
      <c r="T550" s="876">
        <f>S550</f>
        <v>1113.6080000000009</v>
      </c>
      <c r="U550" s="875">
        <f>T550</f>
        <v>1113.6080000000009</v>
      </c>
      <c r="V550" s="876">
        <f>U551</f>
        <v>1809.3300000000011</v>
      </c>
      <c r="W550" s="876">
        <f>V550</f>
        <v>1809.3300000000011</v>
      </c>
      <c r="X550" s="876">
        <f>W550</f>
        <v>1809.3300000000011</v>
      </c>
      <c r="Y550" s="876">
        <f>X550</f>
        <v>1809.3300000000011</v>
      </c>
      <c r="Z550" s="875">
        <f>Y550</f>
        <v>1809.3300000000011</v>
      </c>
      <c r="AA550" s="876">
        <f>Z551</f>
        <v>1467.576</v>
      </c>
      <c r="AB550" s="876">
        <f>AA550</f>
        <v>1467.576</v>
      </c>
      <c r="AC550" s="876">
        <f>AB550</f>
        <v>1467.576</v>
      </c>
      <c r="AD550" s="876">
        <f>AC550</f>
        <v>1467.576</v>
      </c>
      <c r="AE550" s="875">
        <f>AD550</f>
        <v>1467.576</v>
      </c>
      <c r="AF550" s="876">
        <f>AE551</f>
        <v>2822.7949999999996</v>
      </c>
      <c r="AG550" s="876">
        <f>AF550</f>
        <v>2822.7949999999996</v>
      </c>
      <c r="AH550" s="876">
        <f>AG550</f>
        <v>2822.7949999999996</v>
      </c>
      <c r="AI550" s="876">
        <f>AH550</f>
        <v>2822.7949999999996</v>
      </c>
      <c r="AJ550" s="875">
        <f>AI550</f>
        <v>2822.7949999999996</v>
      </c>
      <c r="AK550" s="876">
        <f>AJ551</f>
        <v>3812.0409999999983</v>
      </c>
      <c r="AL550" s="876">
        <f>AK550</f>
        <v>3812.0409999999983</v>
      </c>
      <c r="AM550" s="876">
        <f>AL550</f>
        <v>3812.0409999999983</v>
      </c>
      <c r="AN550" s="876">
        <f>AM550</f>
        <v>3812.0409999999983</v>
      </c>
      <c r="AO550" s="875">
        <f>AN550</f>
        <v>3812.0409999999983</v>
      </c>
      <c r="AP550" s="876">
        <f>AO551</f>
        <v>5043.7859999999946</v>
      </c>
      <c r="AQ550" s="876">
        <f>AP550</f>
        <v>5043.7859999999946</v>
      </c>
      <c r="AR550" s="876">
        <f>AQ550</f>
        <v>5043.7859999999946</v>
      </c>
      <c r="AS550" s="876">
        <f>AR550</f>
        <v>5043.7859999999946</v>
      </c>
      <c r="AT550" s="875">
        <f>AS550</f>
        <v>5043.7859999999946</v>
      </c>
      <c r="AU550" s="876">
        <f>AT551</f>
        <v>8238.8699999999953</v>
      </c>
      <c r="AV550" s="876">
        <f>AU550</f>
        <v>8238.8699999999953</v>
      </c>
      <c r="AW550" s="877">
        <f>AV550</f>
        <v>8238.8699999999953</v>
      </c>
      <c r="AX550" s="879"/>
      <c r="AY550" s="874"/>
      <c r="AZ550" s="879"/>
      <c r="BA550" s="879"/>
      <c r="BB550" s="879"/>
      <c r="BC550" s="879"/>
      <c r="BD550" s="874"/>
      <c r="BE550" s="874"/>
      <c r="BF550" s="874"/>
      <c r="BG550" s="874"/>
      <c r="BH550" s="824"/>
    </row>
    <row r="551" spans="1:60" customFormat="1" hidden="1" outlineLevel="1" x14ac:dyDescent="0.25">
      <c r="A551" s="63" t="s">
        <v>184</v>
      </c>
      <c r="B551" s="423"/>
      <c r="C551" s="875">
        <f t="shared" ref="C551:AQ551" si="491">C548+C550</f>
        <v>134.22400000000002</v>
      </c>
      <c r="D551" s="875">
        <f t="shared" si="491"/>
        <v>194.49900000000005</v>
      </c>
      <c r="E551" s="875">
        <f t="shared" si="491"/>
        <v>508.05300000000022</v>
      </c>
      <c r="F551" s="875">
        <f t="shared" si="491"/>
        <v>290.29100000000039</v>
      </c>
      <c r="G551" s="876">
        <f t="shared" si="491"/>
        <v>418.05100000000033</v>
      </c>
      <c r="H551" s="876">
        <f t="shared" si="491"/>
        <v>370.67800000000045</v>
      </c>
      <c r="I551" s="876">
        <f t="shared" si="491"/>
        <v>439.05600000000049</v>
      </c>
      <c r="J551" s="876">
        <f t="shared" si="491"/>
        <v>604.9650000000006</v>
      </c>
      <c r="K551" s="875">
        <f t="shared" si="491"/>
        <v>604.9650000000006</v>
      </c>
      <c r="L551" s="876">
        <f t="shared" si="491"/>
        <v>1157.4500000000007</v>
      </c>
      <c r="M551" s="876">
        <f t="shared" si="491"/>
        <v>1214.2440000000006</v>
      </c>
      <c r="N551" s="876">
        <f t="shared" si="491"/>
        <v>1183.2170000000006</v>
      </c>
      <c r="O551" s="876">
        <f t="shared" si="491"/>
        <v>1113.6080000000009</v>
      </c>
      <c r="P551" s="875">
        <f t="shared" si="491"/>
        <v>1113.6080000000009</v>
      </c>
      <c r="Q551" s="876">
        <f t="shared" si="491"/>
        <v>2454.777000000001</v>
      </c>
      <c r="R551" s="876">
        <f t="shared" si="491"/>
        <v>2293.8720000000012</v>
      </c>
      <c r="S551" s="876">
        <f t="shared" si="491"/>
        <v>2115.4370000000008</v>
      </c>
      <c r="T551" s="876">
        <f t="shared" si="491"/>
        <v>1809.3300000000011</v>
      </c>
      <c r="U551" s="875">
        <f t="shared" si="491"/>
        <v>1809.3300000000011</v>
      </c>
      <c r="V551" s="876">
        <f t="shared" si="491"/>
        <v>1605.2440000000006</v>
      </c>
      <c r="W551" s="876">
        <f t="shared" si="491"/>
        <v>1390.9250000000015</v>
      </c>
      <c r="X551" s="876">
        <f t="shared" si="491"/>
        <v>969.15800000000127</v>
      </c>
      <c r="Y551" s="876">
        <f t="shared" si="491"/>
        <v>1467.576</v>
      </c>
      <c r="Z551" s="875">
        <f t="shared" si="491"/>
        <v>1467.576</v>
      </c>
      <c r="AA551" s="876">
        <f t="shared" si="491"/>
        <v>1077.8240000000001</v>
      </c>
      <c r="AB551" s="876">
        <f t="shared" si="491"/>
        <v>1918.7769999999996</v>
      </c>
      <c r="AC551" s="876">
        <f t="shared" si="491"/>
        <v>1746.4690000000001</v>
      </c>
      <c r="AD551" s="876">
        <f t="shared" si="491"/>
        <v>2822.7949999999996</v>
      </c>
      <c r="AE551" s="875">
        <f t="shared" si="491"/>
        <v>2822.7949999999996</v>
      </c>
      <c r="AF551" s="876">
        <f t="shared" si="491"/>
        <v>2599.4770000000003</v>
      </c>
      <c r="AG551" s="876">
        <f t="shared" si="491"/>
        <v>3913.9940000000001</v>
      </c>
      <c r="AH551" s="876">
        <f t="shared" si="491"/>
        <v>3078.5640000000003</v>
      </c>
      <c r="AI551" s="876">
        <f t="shared" si="491"/>
        <v>3812.0409999999983</v>
      </c>
      <c r="AJ551" s="875">
        <f t="shared" si="491"/>
        <v>3812.0409999999983</v>
      </c>
      <c r="AK551" s="876">
        <f t="shared" si="491"/>
        <v>3370.0969999999988</v>
      </c>
      <c r="AL551" s="876">
        <f t="shared" si="491"/>
        <v>5028.2049999999972</v>
      </c>
      <c r="AM551" s="876">
        <f t="shared" si="491"/>
        <v>4459.7209999999986</v>
      </c>
      <c r="AN551" s="876">
        <f t="shared" si="491"/>
        <v>5043.7859999999946</v>
      </c>
      <c r="AO551" s="875">
        <f t="shared" si="491"/>
        <v>5043.7859999999946</v>
      </c>
      <c r="AP551" s="876">
        <f t="shared" si="491"/>
        <v>5178.1869999999944</v>
      </c>
      <c r="AQ551" s="876">
        <f t="shared" si="491"/>
        <v>7180.0459999999948</v>
      </c>
      <c r="AR551" s="876">
        <f>AR548+AR550</f>
        <v>8422.2799999999952</v>
      </c>
      <c r="AS551" s="876">
        <f>AS548+AS550</f>
        <v>8238.8699999999953</v>
      </c>
      <c r="AT551" s="875">
        <f>AT548+AT550</f>
        <v>8238.8699999999953</v>
      </c>
      <c r="AU551" s="876">
        <f t="shared" ref="AU551" si="492">AU548+AU550</f>
        <v>8436.4529999999959</v>
      </c>
      <c r="AV551" s="876">
        <f>AV548+AV550</f>
        <v>7804.6179999999958</v>
      </c>
      <c r="AW551" s="877">
        <f>AW548+AW550</f>
        <v>7552.9679999999944</v>
      </c>
      <c r="AX551" s="879"/>
      <c r="AY551" s="874"/>
      <c r="AZ551" s="879"/>
      <c r="BA551" s="879"/>
      <c r="BB551" s="879"/>
      <c r="BC551" s="879"/>
      <c r="BD551" s="874"/>
      <c r="BE551" s="874"/>
      <c r="BF551" s="874"/>
      <c r="BG551" s="874"/>
      <c r="BH551" s="824"/>
    </row>
    <row r="552" spans="1:60" customFormat="1" collapsed="1" x14ac:dyDescent="0.25">
      <c r="A552" s="494"/>
      <c r="B552" s="423"/>
      <c r="C552" s="874"/>
      <c r="D552" s="874"/>
      <c r="E552" s="874"/>
      <c r="F552" s="874"/>
      <c r="G552" s="879"/>
      <c r="H552" s="879"/>
      <c r="I552" s="879"/>
      <c r="J552" s="879"/>
      <c r="K552" s="874"/>
      <c r="L552" s="879"/>
      <c r="M552" s="879"/>
      <c r="N552" s="879"/>
      <c r="O552" s="879"/>
      <c r="P552" s="874"/>
      <c r="Q552" s="879"/>
      <c r="R552" s="879"/>
      <c r="S552" s="879"/>
      <c r="T552" s="879"/>
      <c r="U552" s="874"/>
      <c r="V552" s="879"/>
      <c r="W552" s="879"/>
      <c r="X552" s="879"/>
      <c r="Y552" s="879"/>
      <c r="Z552" s="874"/>
      <c r="AA552" s="879"/>
      <c r="AB552" s="879"/>
      <c r="AC552" s="879"/>
      <c r="AD552" s="879"/>
      <c r="AE552" s="874"/>
      <c r="AF552" s="879"/>
      <c r="AG552" s="879"/>
      <c r="AH552" s="879"/>
      <c r="AI552" s="879"/>
      <c r="AJ552" s="874"/>
      <c r="AK552" s="879"/>
      <c r="AL552" s="879"/>
      <c r="AM552" s="879"/>
      <c r="AN552" s="879"/>
      <c r="AO552" s="874"/>
      <c r="AP552" s="879"/>
      <c r="AQ552" s="879"/>
      <c r="AR552" s="879"/>
      <c r="AS552" s="879"/>
      <c r="AT552" s="874"/>
      <c r="AU552" s="879"/>
      <c r="AV552" s="879"/>
      <c r="AW552" s="880"/>
      <c r="AX552" s="879"/>
      <c r="AY552" s="874"/>
      <c r="AZ552" s="879"/>
      <c r="BA552" s="879"/>
      <c r="BB552" s="879"/>
      <c r="BC552" s="879"/>
      <c r="BD552" s="874"/>
      <c r="BE552" s="874"/>
      <c r="BF552" s="874"/>
      <c r="BG552" s="874"/>
      <c r="BH552" s="824"/>
    </row>
    <row r="553" spans="1:60" customFormat="1" x14ac:dyDescent="0.25">
      <c r="A553" s="819" t="s">
        <v>185</v>
      </c>
      <c r="B553" s="819"/>
      <c r="C553" s="861"/>
      <c r="D553" s="861"/>
      <c r="E553" s="861"/>
      <c r="F553" s="861"/>
      <c r="G553" s="861"/>
      <c r="H553" s="861"/>
      <c r="I553" s="861"/>
      <c r="J553" s="861"/>
      <c r="K553" s="861"/>
      <c r="L553" s="861"/>
      <c r="M553" s="861"/>
      <c r="N553" s="861"/>
      <c r="O553" s="861"/>
      <c r="P553" s="861"/>
      <c r="Q553" s="861"/>
      <c r="R553" s="861"/>
      <c r="S553" s="861"/>
      <c r="T553" s="861"/>
      <c r="U553" s="861"/>
      <c r="V553" s="861"/>
      <c r="W553" s="861"/>
      <c r="X553" s="861"/>
      <c r="Y553" s="861"/>
      <c r="Z553" s="861"/>
      <c r="AA553" s="861"/>
      <c r="AB553" s="861"/>
      <c r="AC553" s="861"/>
      <c r="AD553" s="861"/>
      <c r="AE553" s="861"/>
      <c r="AF553" s="861"/>
      <c r="AG553" s="861"/>
      <c r="AH553" s="861"/>
      <c r="AI553" s="861"/>
      <c r="AJ553" s="861"/>
      <c r="AK553" s="861"/>
      <c r="AL553" s="861"/>
      <c r="AM553" s="861"/>
      <c r="AN553" s="861"/>
      <c r="AO553" s="861"/>
      <c r="AP553" s="861"/>
      <c r="AQ553" s="861"/>
      <c r="AR553" s="861"/>
      <c r="AS553" s="861"/>
      <c r="AT553" s="861"/>
      <c r="AU553" s="861"/>
      <c r="AV553" s="861"/>
      <c r="AW553" s="862"/>
      <c r="AX553" s="861"/>
      <c r="AY553" s="861"/>
      <c r="AZ553" s="861"/>
      <c r="BA553" s="861"/>
      <c r="BB553" s="861"/>
      <c r="BC553" s="861"/>
      <c r="BD553" s="861"/>
      <c r="BE553" s="861"/>
      <c r="BF553" s="861"/>
      <c r="BG553" s="861"/>
      <c r="BH553" s="824"/>
    </row>
    <row r="554" spans="1:60" customFormat="1" x14ac:dyDescent="0.25">
      <c r="A554" s="63" t="str">
        <f t="shared" ref="A554:A575" si="493">A494</f>
        <v>CFO</v>
      </c>
      <c r="B554" s="423"/>
      <c r="C554" s="874"/>
      <c r="D554" s="874"/>
      <c r="E554" s="874"/>
      <c r="F554" s="874"/>
      <c r="G554" s="879"/>
      <c r="H554" s="879"/>
      <c r="I554" s="879"/>
      <c r="J554" s="879"/>
      <c r="K554" s="874"/>
      <c r="L554" s="879"/>
      <c r="M554" s="879"/>
      <c r="N554" s="879"/>
      <c r="O554" s="879"/>
      <c r="P554" s="874"/>
      <c r="Q554" s="879"/>
      <c r="R554" s="879"/>
      <c r="S554" s="879"/>
      <c r="T554" s="879"/>
      <c r="U554" s="874"/>
      <c r="V554" s="879"/>
      <c r="W554" s="879"/>
      <c r="X554" s="879"/>
      <c r="Y554" s="879"/>
      <c r="Z554" s="874"/>
      <c r="AA554" s="879"/>
      <c r="AB554" s="879"/>
      <c r="AC554" s="879"/>
      <c r="AD554" s="879"/>
      <c r="AE554" s="874"/>
      <c r="AF554" s="879"/>
      <c r="AG554" s="879"/>
      <c r="AH554" s="879"/>
      <c r="AI554" s="879"/>
      <c r="AJ554" s="874"/>
      <c r="AK554" s="879"/>
      <c r="AL554" s="879"/>
      <c r="AM554" s="879"/>
      <c r="AN554" s="879"/>
      <c r="AO554" s="874"/>
      <c r="AP554" s="879"/>
      <c r="AQ554" s="879"/>
      <c r="AR554" s="879"/>
      <c r="AS554" s="879"/>
      <c r="AT554" s="874"/>
      <c r="AU554" s="879"/>
      <c r="AV554" s="879"/>
      <c r="AW554" s="880"/>
      <c r="AX554" s="879"/>
      <c r="AY554" s="874"/>
      <c r="AZ554" s="879"/>
      <c r="BA554" s="879"/>
      <c r="BB554" s="879"/>
      <c r="BC554" s="879"/>
      <c r="BD554" s="874"/>
      <c r="BE554" s="874"/>
      <c r="BF554" s="874"/>
      <c r="BG554" s="874"/>
      <c r="BH554" s="824"/>
    </row>
    <row r="555" spans="1:60" customFormat="1" x14ac:dyDescent="0.25">
      <c r="A555" s="367" t="str">
        <f t="shared" si="493"/>
        <v>Net income</v>
      </c>
      <c r="B555" s="289"/>
      <c r="C555" s="865">
        <f t="shared" ref="C555:G567" si="494">C495</f>
        <v>115.86</v>
      </c>
      <c r="D555" s="865">
        <f t="shared" si="494"/>
        <v>160.85300000000001</v>
      </c>
      <c r="E555" s="865">
        <f t="shared" si="494"/>
        <v>226.126</v>
      </c>
      <c r="F555" s="865">
        <f t="shared" si="494"/>
        <v>17.152000000000001</v>
      </c>
      <c r="G555" s="866">
        <f t="shared" si="494"/>
        <v>2.6890000000000001</v>
      </c>
      <c r="H555" s="866">
        <f t="shared" ref="H555:J567" si="495">H495-G495</f>
        <v>29.470999999999997</v>
      </c>
      <c r="I555" s="866">
        <f t="shared" si="495"/>
        <v>31.822000000000003</v>
      </c>
      <c r="J555" s="866">
        <f t="shared" si="495"/>
        <v>48.421000000000006</v>
      </c>
      <c r="K555" s="865">
        <f t="shared" ref="K555:L567" si="496">K495</f>
        <v>112.40300000000001</v>
      </c>
      <c r="L555" s="866">
        <f t="shared" si="496"/>
        <v>53.115000000000002</v>
      </c>
      <c r="M555" s="866">
        <f t="shared" ref="M555:O567" si="497">M495-L495</f>
        <v>71.018000000000001</v>
      </c>
      <c r="N555" s="866">
        <f t="shared" si="497"/>
        <v>59.295000000000002</v>
      </c>
      <c r="O555" s="866">
        <f t="shared" si="497"/>
        <v>83.370999999999981</v>
      </c>
      <c r="P555" s="865">
        <f t="shared" ref="P555:Q567" si="498">P495</f>
        <v>266.79899999999998</v>
      </c>
      <c r="Q555" s="866">
        <f t="shared" si="498"/>
        <v>23.696000000000002</v>
      </c>
      <c r="R555" s="866">
        <f t="shared" ref="R555:T567" si="499">R495-Q495</f>
        <v>26.334999999999997</v>
      </c>
      <c r="S555" s="866">
        <f t="shared" si="499"/>
        <v>29.431999999999995</v>
      </c>
      <c r="T555" s="866">
        <f t="shared" si="499"/>
        <v>43.178000000000011</v>
      </c>
      <c r="U555" s="865">
        <f t="shared" ref="U555:V567" si="500">U495</f>
        <v>122.64100000000001</v>
      </c>
      <c r="V555" s="866">
        <f t="shared" si="500"/>
        <v>27.658000000000001</v>
      </c>
      <c r="W555" s="866">
        <f t="shared" ref="W555:Y567" si="501">W495-V495</f>
        <v>40.754999999999995</v>
      </c>
      <c r="X555" s="866">
        <f t="shared" si="501"/>
        <v>51.51700000000001</v>
      </c>
      <c r="Y555" s="866">
        <f t="shared" si="501"/>
        <v>66.74799999999999</v>
      </c>
      <c r="Z555" s="865">
        <f t="shared" ref="Z555:AA567" si="502">Z495</f>
        <v>186.678</v>
      </c>
      <c r="AA555" s="866">
        <f t="shared" si="502"/>
        <v>178.22200000000001</v>
      </c>
      <c r="AB555" s="866">
        <f t="shared" ref="AB555:AD567" si="503">AB495-AA495</f>
        <v>65.599999999999994</v>
      </c>
      <c r="AC555" s="866">
        <f t="shared" si="503"/>
        <v>129.58999999999997</v>
      </c>
      <c r="AD555" s="866">
        <f t="shared" si="503"/>
        <v>185.517</v>
      </c>
      <c r="AE555" s="865">
        <f t="shared" ref="AE555:AF567" si="504">AE495</f>
        <v>558.92899999999997</v>
      </c>
      <c r="AF555" s="866">
        <f t="shared" si="504"/>
        <v>290.12400000000002</v>
      </c>
      <c r="AG555" s="866">
        <f t="shared" ref="AG555:AI567" si="505">AG495-AF495</f>
        <v>384.34899999999993</v>
      </c>
      <c r="AH555" s="866">
        <f t="shared" si="505"/>
        <v>402.83500000000004</v>
      </c>
      <c r="AI555" s="866">
        <f t="shared" si="505"/>
        <v>133.93399999999997</v>
      </c>
      <c r="AJ555" s="865">
        <f t="shared" ref="AJ555:AK567" si="506">AJ495</f>
        <v>1211.242</v>
      </c>
      <c r="AK555" s="866">
        <f t="shared" si="506"/>
        <v>344.05200000000002</v>
      </c>
      <c r="AL555" s="866">
        <f t="shared" ref="AL555:AN567" si="507">AL495-AK495</f>
        <v>270.64999999999998</v>
      </c>
      <c r="AM555" s="866">
        <f t="shared" si="507"/>
        <v>665.24399999999991</v>
      </c>
      <c r="AN555" s="866">
        <f t="shared" si="507"/>
        <v>586.97</v>
      </c>
      <c r="AO555" s="865">
        <f t="shared" ref="AO555:AP567" si="508">AO495</f>
        <v>1866.9159999999999</v>
      </c>
      <c r="AP555" s="866">
        <f t="shared" si="508"/>
        <v>709.06700000000001</v>
      </c>
      <c r="AQ555" s="866">
        <f t="shared" ref="AQ555:AQ567" si="509">AQ495-AP495</f>
        <v>720.19599999999991</v>
      </c>
      <c r="AR555" s="866">
        <f t="shared" ref="AR555:AR567" si="510">AR495-AQ495</f>
        <v>789.97600000000011</v>
      </c>
      <c r="AS555" s="866">
        <f t="shared" ref="AS555:AS567" si="511">AS495-AR495</f>
        <v>542.15599999999995</v>
      </c>
      <c r="AT555" s="865">
        <f t="shared" ref="AT555:AU567" si="512">AT495</f>
        <v>2761.395</v>
      </c>
      <c r="AU555" s="866">
        <f t="shared" si="512"/>
        <v>1706.7149999999999</v>
      </c>
      <c r="AV555" s="866">
        <f t="shared" ref="AV555:AV567" si="513">AV495-AU495</f>
        <v>1353.0130000000001</v>
      </c>
      <c r="AW555" s="878">
        <f t="shared" ref="AW555:AW567" si="514">AW495-AV495</f>
        <v>1449.0709999999999</v>
      </c>
      <c r="AX555" s="867">
        <f>AX406</f>
        <v>350.35107930358816</v>
      </c>
      <c r="AY555" s="864">
        <f t="shared" ref="AY555:AY567" si="515">SUM(AU555,AV555,AW555,AX555)</f>
        <v>4859.1500793035884</v>
      </c>
      <c r="AZ555" s="867">
        <f ca="1">AZ406</f>
        <v>1637.9864130617766</v>
      </c>
      <c r="BA555" s="867">
        <f ca="1">BA406</f>
        <v>1601.1691956012214</v>
      </c>
      <c r="BB555" s="867">
        <f ca="1">BB406</f>
        <v>1607.1642693270355</v>
      </c>
      <c r="BC555" s="867">
        <f ca="1">BC406</f>
        <v>1064.3857609071911</v>
      </c>
      <c r="BD555" s="864">
        <f t="shared" ref="BD555:BD567" ca="1" si="516">SUM(AZ555,BA555,BB555,BC555)</f>
        <v>5910.7056388972251</v>
      </c>
      <c r="BE555" s="864">
        <f ca="1">BE406</f>
        <v>7696.1873227945907</v>
      </c>
      <c r="BF555" s="864">
        <f ca="1">BF406</f>
        <v>9744.2946144258585</v>
      </c>
      <c r="BG555" s="864">
        <f ca="1">BG406</f>
        <v>12614.37290036915</v>
      </c>
      <c r="BH555" s="821"/>
    </row>
    <row r="556" spans="1:60" customFormat="1" x14ac:dyDescent="0.25">
      <c r="A556" s="367" t="str">
        <f t="shared" si="493"/>
        <v>Additions to streaming content library</v>
      </c>
      <c r="B556" s="289"/>
      <c r="C556" s="865">
        <f t="shared" si="494"/>
        <v>-64.216999999999999</v>
      </c>
      <c r="D556" s="865">
        <f t="shared" si="494"/>
        <v>-406.21</v>
      </c>
      <c r="E556" s="865">
        <f t="shared" si="494"/>
        <v>-2320.732</v>
      </c>
      <c r="F556" s="865">
        <f t="shared" si="494"/>
        <v>-2515.5059999999999</v>
      </c>
      <c r="G556" s="866">
        <f t="shared" si="494"/>
        <v>-591.94100000000003</v>
      </c>
      <c r="H556" s="866">
        <f t="shared" si="495"/>
        <v>-593.45399999999995</v>
      </c>
      <c r="I556" s="866">
        <f t="shared" si="495"/>
        <v>-878.31399999999985</v>
      </c>
      <c r="J556" s="866">
        <f t="shared" si="495"/>
        <v>-986.04899999999998</v>
      </c>
      <c r="K556" s="865">
        <f t="shared" si="496"/>
        <v>-3049.7579999999998</v>
      </c>
      <c r="L556" s="866">
        <f t="shared" si="496"/>
        <v>-749.399</v>
      </c>
      <c r="M556" s="866">
        <f t="shared" si="497"/>
        <v>-813.31399999999996</v>
      </c>
      <c r="N556" s="866">
        <f t="shared" si="497"/>
        <v>-1202.4840000000002</v>
      </c>
      <c r="O556" s="866">
        <f t="shared" si="497"/>
        <v>-1008.2619999999997</v>
      </c>
      <c r="P556" s="865">
        <f t="shared" si="498"/>
        <v>-3773.4589999999998</v>
      </c>
      <c r="Q556" s="866">
        <f t="shared" si="498"/>
        <v>-1611.925</v>
      </c>
      <c r="R556" s="866">
        <f t="shared" si="499"/>
        <v>-1273.6769999999999</v>
      </c>
      <c r="S556" s="866">
        <f t="shared" si="499"/>
        <v>-1308.9430000000002</v>
      </c>
      <c r="T556" s="866">
        <f t="shared" si="499"/>
        <v>-1577.107</v>
      </c>
      <c r="U556" s="865">
        <f t="shared" si="500"/>
        <v>-5771.652</v>
      </c>
      <c r="V556" s="866">
        <f t="shared" si="500"/>
        <v>-2316.5990000000002</v>
      </c>
      <c r="W556" s="866">
        <f t="shared" si="501"/>
        <v>-1791.7659999999996</v>
      </c>
      <c r="X556" s="866">
        <f t="shared" si="501"/>
        <v>-2442.08</v>
      </c>
      <c r="Y556" s="866">
        <f t="shared" si="501"/>
        <v>-2102.8410000000003</v>
      </c>
      <c r="Z556" s="865">
        <f t="shared" si="502"/>
        <v>-8653.2860000000001</v>
      </c>
      <c r="AA556" s="866">
        <f t="shared" si="502"/>
        <v>-2348.6660000000002</v>
      </c>
      <c r="AB556" s="866">
        <f t="shared" si="503"/>
        <v>-2664.4210000000003</v>
      </c>
      <c r="AC556" s="866">
        <f t="shared" si="503"/>
        <v>-2315.0169999999998</v>
      </c>
      <c r="AD556" s="866">
        <f t="shared" si="503"/>
        <v>-2477.6590000000006</v>
      </c>
      <c r="AE556" s="865">
        <f t="shared" si="504"/>
        <v>-9805.7630000000008</v>
      </c>
      <c r="AF556" s="866">
        <f t="shared" si="504"/>
        <v>-2986.7469999999998</v>
      </c>
      <c r="AG556" s="866">
        <f t="shared" si="505"/>
        <v>-3033.721</v>
      </c>
      <c r="AH556" s="866">
        <f t="shared" si="505"/>
        <v>-3238.7169999999996</v>
      </c>
      <c r="AI556" s="866">
        <f t="shared" si="505"/>
        <v>-3784.2520000000004</v>
      </c>
      <c r="AJ556" s="865">
        <f t="shared" si="506"/>
        <v>-13043.437</v>
      </c>
      <c r="AK556" s="866">
        <f t="shared" si="506"/>
        <v>-2997.7460000000001</v>
      </c>
      <c r="AL556" s="866">
        <f t="shared" si="507"/>
        <v>-3325.1030000000001</v>
      </c>
      <c r="AM556" s="866">
        <f t="shared" si="507"/>
        <v>-3648.2919999999995</v>
      </c>
      <c r="AN556" s="866">
        <f t="shared" si="507"/>
        <v>-3945.5420000000013</v>
      </c>
      <c r="AO556" s="865">
        <f t="shared" si="508"/>
        <v>-13916.683000000001</v>
      </c>
      <c r="AP556" s="866">
        <f t="shared" si="508"/>
        <v>-3294.2750000000001</v>
      </c>
      <c r="AQ556" s="866">
        <f t="shared" si="509"/>
        <v>-2510.7819999999997</v>
      </c>
      <c r="AR556" s="866">
        <f t="shared" si="510"/>
        <v>-2653.8859999999995</v>
      </c>
      <c r="AS556" s="866">
        <f t="shared" si="511"/>
        <v>-3320.3410000000003</v>
      </c>
      <c r="AT556" s="865">
        <f t="shared" si="512"/>
        <v>-11779.284</v>
      </c>
      <c r="AU556" s="866">
        <f t="shared" si="512"/>
        <v>-3284.576</v>
      </c>
      <c r="AV556" s="866">
        <f t="shared" si="513"/>
        <v>-4096.75</v>
      </c>
      <c r="AW556" s="878">
        <f t="shared" si="514"/>
        <v>-4666.2370000000001</v>
      </c>
      <c r="AX556" s="867">
        <f>-AX635</f>
        <v>-4000</v>
      </c>
      <c r="AY556" s="864">
        <f t="shared" si="515"/>
        <v>-16047.563</v>
      </c>
      <c r="AZ556" s="867">
        <f>-AZ635</f>
        <v>-4000</v>
      </c>
      <c r="BA556" s="867">
        <f>-BA635</f>
        <v>-4000</v>
      </c>
      <c r="BB556" s="867">
        <f>-BB635</f>
        <v>-4000</v>
      </c>
      <c r="BC556" s="867">
        <f>-BC635</f>
        <v>-4000</v>
      </c>
      <c r="BD556" s="864">
        <f t="shared" si="516"/>
        <v>-16000</v>
      </c>
      <c r="BE556" s="864">
        <f>-BE635</f>
        <v>-16000</v>
      </c>
      <c r="BF556" s="864">
        <f>-BF635</f>
        <v>-16000</v>
      </c>
      <c r="BG556" s="864">
        <f>-BG635</f>
        <v>-16000</v>
      </c>
      <c r="BH556" s="821"/>
    </row>
    <row r="557" spans="1:60" customFormat="1" x14ac:dyDescent="0.25">
      <c r="A557" s="367" t="str">
        <f t="shared" si="493"/>
        <v>Change in streaming content liabilities</v>
      </c>
      <c r="B557" s="289"/>
      <c r="C557" s="865">
        <f t="shared" si="494"/>
        <v>-4.0140000000000002</v>
      </c>
      <c r="D557" s="865">
        <f t="shared" si="494"/>
        <v>168.23099999999999</v>
      </c>
      <c r="E557" s="865">
        <f t="shared" si="494"/>
        <v>1463.9549999999999</v>
      </c>
      <c r="F557" s="865">
        <f t="shared" si="494"/>
        <v>762.08900000000006</v>
      </c>
      <c r="G557" s="866">
        <f t="shared" si="494"/>
        <v>9.6999999999999993</v>
      </c>
      <c r="H557" s="866">
        <f t="shared" si="495"/>
        <v>7.2840000000000025</v>
      </c>
      <c r="I557" s="866">
        <f t="shared" si="495"/>
        <v>310.19100000000003</v>
      </c>
      <c r="J557" s="866">
        <f t="shared" si="495"/>
        <v>346.60999999999996</v>
      </c>
      <c r="K557" s="865">
        <f t="shared" si="496"/>
        <v>673.78499999999997</v>
      </c>
      <c r="L557" s="866">
        <f t="shared" si="496"/>
        <v>42.244</v>
      </c>
      <c r="M557" s="866">
        <f t="shared" si="497"/>
        <v>78.358999999999995</v>
      </c>
      <c r="N557" s="866">
        <f t="shared" si="497"/>
        <v>346.75200000000001</v>
      </c>
      <c r="O557" s="866">
        <f t="shared" si="497"/>
        <v>125.76999999999998</v>
      </c>
      <c r="P557" s="865">
        <f t="shared" si="498"/>
        <v>593.125</v>
      </c>
      <c r="Q557" s="866">
        <f t="shared" si="498"/>
        <v>626.32500000000005</v>
      </c>
      <c r="R557" s="866">
        <f t="shared" si="499"/>
        <v>191.154</v>
      </c>
      <c r="S557" s="866">
        <f t="shared" si="499"/>
        <v>104.68399999999997</v>
      </c>
      <c r="T557" s="866">
        <f t="shared" si="499"/>
        <v>240.25</v>
      </c>
      <c r="U557" s="865">
        <f t="shared" si="500"/>
        <v>1162.413</v>
      </c>
      <c r="V557" s="866">
        <f t="shared" si="500"/>
        <v>905.72299999999996</v>
      </c>
      <c r="W557" s="866">
        <f t="shared" si="501"/>
        <v>238.51700000000005</v>
      </c>
      <c r="X557" s="866">
        <f t="shared" si="501"/>
        <v>529.88499999999999</v>
      </c>
      <c r="Y557" s="866">
        <f t="shared" si="501"/>
        <v>98.525000000000091</v>
      </c>
      <c r="Z557" s="865">
        <f t="shared" si="502"/>
        <v>1772.65</v>
      </c>
      <c r="AA557" s="866">
        <f t="shared" si="502"/>
        <v>366.25700000000001</v>
      </c>
      <c r="AB557" s="866">
        <f t="shared" si="503"/>
        <v>514.8900000000001</v>
      </c>
      <c r="AC557" s="866">
        <f t="shared" si="503"/>
        <v>-34.587000000000103</v>
      </c>
      <c r="AD557" s="866">
        <f t="shared" si="503"/>
        <v>53.446000000000026</v>
      </c>
      <c r="AE557" s="865">
        <f t="shared" si="504"/>
        <v>900.00599999999997</v>
      </c>
      <c r="AF557" s="866">
        <f t="shared" si="504"/>
        <v>378.88499999999999</v>
      </c>
      <c r="AG557" s="866">
        <f t="shared" si="505"/>
        <v>288.47400000000005</v>
      </c>
      <c r="AH557" s="866">
        <f t="shared" si="505"/>
        <v>65.867999999999938</v>
      </c>
      <c r="AI557" s="866">
        <f t="shared" si="505"/>
        <v>266.65300000000002</v>
      </c>
      <c r="AJ557" s="865">
        <f t="shared" si="506"/>
        <v>999.88</v>
      </c>
      <c r="AK557" s="866">
        <f t="shared" si="506"/>
        <v>-14.698</v>
      </c>
      <c r="AL557" s="866">
        <f t="shared" si="507"/>
        <v>-12.413999999999998</v>
      </c>
      <c r="AM557" s="866">
        <f t="shared" si="507"/>
        <v>-95.548000000000002</v>
      </c>
      <c r="AN557" s="866">
        <f t="shared" si="507"/>
        <v>-571.351</v>
      </c>
      <c r="AO557" s="865">
        <f t="shared" si="508"/>
        <v>-694.01099999999997</v>
      </c>
      <c r="AP557" s="866">
        <f t="shared" si="508"/>
        <v>258.94499999999999</v>
      </c>
      <c r="AQ557" s="866">
        <f t="shared" si="509"/>
        <v>-108.43199999999999</v>
      </c>
      <c r="AR557" s="866">
        <f t="shared" si="510"/>
        <v>-379.45799999999997</v>
      </c>
      <c r="AS557" s="866">
        <f t="shared" si="511"/>
        <v>-528.48800000000006</v>
      </c>
      <c r="AT557" s="865">
        <f t="shared" si="512"/>
        <v>-757.43299999999999</v>
      </c>
      <c r="AU557" s="866">
        <f t="shared" si="512"/>
        <v>-266.04000000000002</v>
      </c>
      <c r="AV557" s="866">
        <f t="shared" si="513"/>
        <v>-312.20800000000003</v>
      </c>
      <c r="AW557" s="878">
        <f t="shared" si="514"/>
        <v>-29.245999999999981</v>
      </c>
      <c r="AX557" s="905">
        <v>300</v>
      </c>
      <c r="AY557" s="864">
        <f t="shared" si="515"/>
        <v>-307.49400000000003</v>
      </c>
      <c r="AZ557" s="905">
        <v>300</v>
      </c>
      <c r="BA557" s="905">
        <v>300</v>
      </c>
      <c r="BB557" s="905">
        <v>300</v>
      </c>
      <c r="BC557" s="905">
        <v>300</v>
      </c>
      <c r="BD557" s="864">
        <f t="shared" si="516"/>
        <v>1200</v>
      </c>
      <c r="BE557" s="906">
        <v>1200</v>
      </c>
      <c r="BF557" s="906">
        <v>1200</v>
      </c>
      <c r="BG557" s="906">
        <v>1200</v>
      </c>
      <c r="BH557" s="821"/>
    </row>
    <row r="558" spans="1:60" customFormat="1" x14ac:dyDescent="0.25">
      <c r="A558" s="367" t="str">
        <f t="shared" si="493"/>
        <v>Amortization of streaming content library</v>
      </c>
      <c r="B558" s="289"/>
      <c r="C558" s="865">
        <f t="shared" si="494"/>
        <v>48.192</v>
      </c>
      <c r="D558" s="865">
        <f t="shared" si="494"/>
        <v>158.1</v>
      </c>
      <c r="E558" s="865">
        <f t="shared" si="494"/>
        <v>699.12800000000004</v>
      </c>
      <c r="F558" s="865">
        <f t="shared" si="494"/>
        <v>1591.2180000000001</v>
      </c>
      <c r="G558" s="866">
        <f t="shared" si="494"/>
        <v>485.74</v>
      </c>
      <c r="H558" s="866">
        <f t="shared" si="495"/>
        <v>510.25</v>
      </c>
      <c r="I558" s="866">
        <f t="shared" si="495"/>
        <v>553.39400000000001</v>
      </c>
      <c r="J558" s="866">
        <f t="shared" si="495"/>
        <v>572.59700000000021</v>
      </c>
      <c r="K558" s="865">
        <f t="shared" si="496"/>
        <v>2121.9810000000002</v>
      </c>
      <c r="L558" s="866">
        <f t="shared" si="496"/>
        <v>600.73500000000001</v>
      </c>
      <c r="M558" s="866">
        <f t="shared" si="497"/>
        <v>639.03699999999992</v>
      </c>
      <c r="N558" s="866">
        <f t="shared" si="497"/>
        <v>686.154</v>
      </c>
      <c r="O558" s="866">
        <f t="shared" si="497"/>
        <v>730.35300000000007</v>
      </c>
      <c r="P558" s="865">
        <f t="shared" si="498"/>
        <v>2656.279</v>
      </c>
      <c r="Q558" s="866">
        <f t="shared" si="498"/>
        <v>749.51800000000003</v>
      </c>
      <c r="R558" s="866">
        <f t="shared" si="499"/>
        <v>822.59999999999991</v>
      </c>
      <c r="S558" s="866">
        <f t="shared" si="499"/>
        <v>871.40300000000025</v>
      </c>
      <c r="T558" s="866">
        <f t="shared" si="499"/>
        <v>961.86099999999988</v>
      </c>
      <c r="U558" s="865">
        <f t="shared" si="500"/>
        <v>3405.3820000000001</v>
      </c>
      <c r="V558" s="866">
        <f t="shared" si="500"/>
        <v>1058.521</v>
      </c>
      <c r="W558" s="866">
        <f t="shared" si="501"/>
        <v>1175.3610000000001</v>
      </c>
      <c r="X558" s="866">
        <f t="shared" si="501"/>
        <v>1224.1079999999997</v>
      </c>
      <c r="Y558" s="866">
        <f t="shared" si="501"/>
        <v>1330.5079999999998</v>
      </c>
      <c r="Z558" s="865">
        <f t="shared" si="502"/>
        <v>4788.4979999999996</v>
      </c>
      <c r="AA558" s="866">
        <f t="shared" si="502"/>
        <v>1305.683</v>
      </c>
      <c r="AB558" s="866">
        <f t="shared" si="503"/>
        <v>1550.7939999999999</v>
      </c>
      <c r="AC558" s="866">
        <f t="shared" si="503"/>
        <v>1627.4769999999999</v>
      </c>
      <c r="AD558" s="866">
        <f t="shared" si="503"/>
        <v>1713.8630000000003</v>
      </c>
      <c r="AE558" s="865">
        <f t="shared" si="504"/>
        <v>6197.817</v>
      </c>
      <c r="AF558" s="866">
        <f t="shared" si="504"/>
        <v>1748.8440000000001</v>
      </c>
      <c r="AG558" s="866">
        <f t="shared" si="505"/>
        <v>1817.817</v>
      </c>
      <c r="AH558" s="866">
        <f t="shared" si="505"/>
        <v>1911.7669999999998</v>
      </c>
      <c r="AI558" s="866">
        <f t="shared" si="505"/>
        <v>2053.66</v>
      </c>
      <c r="AJ558" s="865">
        <f t="shared" si="506"/>
        <v>7532.0879999999997</v>
      </c>
      <c r="AK558" s="866">
        <f t="shared" si="506"/>
        <v>2124.6860000000001</v>
      </c>
      <c r="AL558" s="866">
        <f t="shared" si="507"/>
        <v>2231.9149999999995</v>
      </c>
      <c r="AM558" s="866">
        <f t="shared" si="507"/>
        <v>2279.9770000000008</v>
      </c>
      <c r="AN558" s="866">
        <f t="shared" si="507"/>
        <v>2579.668999999999</v>
      </c>
      <c r="AO558" s="865">
        <f t="shared" si="508"/>
        <v>9216.2469999999994</v>
      </c>
      <c r="AP558" s="866">
        <f t="shared" si="508"/>
        <v>2483.3850000000002</v>
      </c>
      <c r="AQ558" s="866">
        <f t="shared" si="509"/>
        <v>2607.1589999999997</v>
      </c>
      <c r="AR558" s="866">
        <f t="shared" si="510"/>
        <v>2733.7430000000004</v>
      </c>
      <c r="AS558" s="866">
        <f t="shared" si="511"/>
        <v>2982.625</v>
      </c>
      <c r="AT558" s="865">
        <f t="shared" si="512"/>
        <v>10806.912</v>
      </c>
      <c r="AU558" s="866">
        <f t="shared" si="512"/>
        <v>2719.1959999999999</v>
      </c>
      <c r="AV558" s="866">
        <f t="shared" si="513"/>
        <v>2806.8029999999999</v>
      </c>
      <c r="AW558" s="878">
        <f t="shared" si="514"/>
        <v>2963.0509999999995</v>
      </c>
      <c r="AX558" s="867">
        <f>-AX243</f>
        <v>3468.9473054794516</v>
      </c>
      <c r="AY558" s="864">
        <f t="shared" si="515"/>
        <v>11957.99730547945</v>
      </c>
      <c r="AZ558" s="867">
        <f>-AZ243</f>
        <v>3128.3487144601236</v>
      </c>
      <c r="BA558" s="867">
        <f>-BA243</f>
        <v>3180.8201260764636</v>
      </c>
      <c r="BB558" s="867">
        <f>-BB243</f>
        <v>3302.4950436107956</v>
      </c>
      <c r="BC558" s="867">
        <f>-BC243</f>
        <v>3376.3350203638879</v>
      </c>
      <c r="BD558" s="864">
        <f t="shared" si="516"/>
        <v>12987.998904511271</v>
      </c>
      <c r="BE558" s="864">
        <f>-BE243</f>
        <v>13657.181491803896</v>
      </c>
      <c r="BF558" s="864">
        <f>-BF243</f>
        <v>14641.165265246258</v>
      </c>
      <c r="BG558" s="864">
        <f>-BG243</f>
        <v>15211.87585384283</v>
      </c>
      <c r="BH558" s="821"/>
    </row>
    <row r="559" spans="1:60" customFormat="1" x14ac:dyDescent="0.25">
      <c r="A559" s="367" t="str">
        <f t="shared" si="493"/>
        <v>Amortization of DVD content library</v>
      </c>
      <c r="B559" s="289"/>
      <c r="C559" s="865">
        <f t="shared" si="494"/>
        <v>171.298</v>
      </c>
      <c r="D559" s="865">
        <f t="shared" si="494"/>
        <v>142.49600000000001</v>
      </c>
      <c r="E559" s="865">
        <f t="shared" si="494"/>
        <v>96.744</v>
      </c>
      <c r="F559" s="865">
        <f t="shared" si="494"/>
        <v>65.396000000000001</v>
      </c>
      <c r="G559" s="866">
        <f t="shared" si="494"/>
        <v>18.236999999999998</v>
      </c>
      <c r="H559" s="866">
        <f t="shared" si="495"/>
        <v>17.709</v>
      </c>
      <c r="I559" s="866">
        <f t="shared" si="495"/>
        <v>17.545999999999999</v>
      </c>
      <c r="J559" s="866">
        <f t="shared" si="495"/>
        <v>17.833000000000006</v>
      </c>
      <c r="K559" s="865">
        <f t="shared" si="496"/>
        <v>71.325000000000003</v>
      </c>
      <c r="L559" s="866">
        <f t="shared" si="496"/>
        <v>16.120999999999999</v>
      </c>
      <c r="M559" s="866">
        <f t="shared" si="497"/>
        <v>16.922999999999998</v>
      </c>
      <c r="N559" s="866">
        <f t="shared" si="497"/>
        <v>18.269000000000005</v>
      </c>
      <c r="O559" s="866">
        <f t="shared" si="497"/>
        <v>20.177999999999997</v>
      </c>
      <c r="P559" s="865">
        <f t="shared" si="498"/>
        <v>71.491</v>
      </c>
      <c r="Q559" s="866">
        <f t="shared" si="498"/>
        <v>21.184999999999999</v>
      </c>
      <c r="R559" s="866">
        <f t="shared" si="499"/>
        <v>20.812999999999999</v>
      </c>
      <c r="S559" s="866">
        <f t="shared" si="499"/>
        <v>18.589000000000006</v>
      </c>
      <c r="T559" s="866">
        <f t="shared" si="499"/>
        <v>18.792999999999992</v>
      </c>
      <c r="U559" s="865">
        <f t="shared" si="500"/>
        <v>79.38</v>
      </c>
      <c r="V559" s="866">
        <f t="shared" si="500"/>
        <v>20.440999999999999</v>
      </c>
      <c r="W559" s="866">
        <f t="shared" si="501"/>
        <v>20.021000000000004</v>
      </c>
      <c r="X559" s="866">
        <f t="shared" si="501"/>
        <v>19.283999999999999</v>
      </c>
      <c r="Y559" s="866">
        <f t="shared" si="501"/>
        <v>19.205999999999996</v>
      </c>
      <c r="Z559" s="865">
        <f t="shared" si="502"/>
        <v>78.951999999999998</v>
      </c>
      <c r="AA559" s="866">
        <f t="shared" si="502"/>
        <v>18.597999999999999</v>
      </c>
      <c r="AB559" s="866">
        <f t="shared" si="503"/>
        <v>16.511000000000003</v>
      </c>
      <c r="AC559" s="866">
        <f t="shared" si="503"/>
        <v>13.259</v>
      </c>
      <c r="AD559" s="866">
        <f t="shared" si="503"/>
        <v>12.288999999999994</v>
      </c>
      <c r="AE559" s="865">
        <f t="shared" si="504"/>
        <v>60.656999999999996</v>
      </c>
      <c r="AF559" s="866">
        <f t="shared" si="504"/>
        <v>11.134</v>
      </c>
      <c r="AG559" s="866">
        <f t="shared" si="505"/>
        <v>11.154</v>
      </c>
      <c r="AH559" s="866">
        <f t="shared" si="505"/>
        <v>9.9589999999999996</v>
      </c>
      <c r="AI559" s="866">
        <f t="shared" si="505"/>
        <v>8.9650000000000034</v>
      </c>
      <c r="AJ559" s="865">
        <f t="shared" si="506"/>
        <v>41.212000000000003</v>
      </c>
      <c r="AK559" s="866">
        <f t="shared" si="506"/>
        <v>0</v>
      </c>
      <c r="AL559" s="866">
        <f t="shared" si="507"/>
        <v>0</v>
      </c>
      <c r="AM559" s="866">
        <f t="shared" si="507"/>
        <v>0</v>
      </c>
      <c r="AN559" s="866">
        <f t="shared" si="507"/>
        <v>0</v>
      </c>
      <c r="AO559" s="865">
        <f t="shared" si="508"/>
        <v>0</v>
      </c>
      <c r="AP559" s="866">
        <f t="shared" si="508"/>
        <v>0</v>
      </c>
      <c r="AQ559" s="866">
        <f t="shared" si="509"/>
        <v>0</v>
      </c>
      <c r="AR559" s="866">
        <f t="shared" si="510"/>
        <v>0</v>
      </c>
      <c r="AS559" s="866">
        <f t="shared" si="511"/>
        <v>0</v>
      </c>
      <c r="AT559" s="865">
        <f t="shared" si="512"/>
        <v>0</v>
      </c>
      <c r="AU559" s="866">
        <f t="shared" si="512"/>
        <v>0</v>
      </c>
      <c r="AV559" s="866">
        <f t="shared" si="513"/>
        <v>0</v>
      </c>
      <c r="AW559" s="878">
        <f t="shared" si="514"/>
        <v>0</v>
      </c>
      <c r="AX559" s="867"/>
      <c r="AY559" s="864">
        <f t="shared" si="515"/>
        <v>0</v>
      </c>
      <c r="AZ559" s="867"/>
      <c r="BA559" s="867"/>
      <c r="BB559" s="867"/>
      <c r="BC559" s="867"/>
      <c r="BD559" s="864">
        <f t="shared" si="516"/>
        <v>0</v>
      </c>
      <c r="BE559" s="864"/>
      <c r="BF559" s="864"/>
      <c r="BG559" s="864"/>
      <c r="BH559" s="821"/>
    </row>
    <row r="560" spans="1:60" customFormat="1" x14ac:dyDescent="0.25">
      <c r="A560" s="367" t="str">
        <f t="shared" si="493"/>
        <v>Depreciation and amortization of property, equipment and intangibles</v>
      </c>
      <c r="B560" s="289"/>
      <c r="C560" s="865">
        <f t="shared" si="494"/>
        <v>38.043999999999997</v>
      </c>
      <c r="D560" s="865">
        <f t="shared" si="494"/>
        <v>38.098999999999997</v>
      </c>
      <c r="E560" s="865">
        <f t="shared" si="494"/>
        <v>43.747</v>
      </c>
      <c r="F560" s="865">
        <f t="shared" si="494"/>
        <v>45.469000000000001</v>
      </c>
      <c r="G560" s="866">
        <f t="shared" si="494"/>
        <v>12.051</v>
      </c>
      <c r="H560" s="866">
        <f t="shared" si="495"/>
        <v>12.026000000000002</v>
      </c>
      <c r="I560" s="866">
        <f t="shared" si="495"/>
        <v>11.452000000000002</v>
      </c>
      <c r="J560" s="866">
        <f t="shared" si="495"/>
        <v>12.844999999999999</v>
      </c>
      <c r="K560" s="865">
        <f t="shared" si="496"/>
        <v>48.374000000000002</v>
      </c>
      <c r="L560" s="866">
        <f t="shared" si="496"/>
        <v>12.382</v>
      </c>
      <c r="M560" s="866">
        <f t="shared" si="497"/>
        <v>12.977000000000002</v>
      </c>
      <c r="N560" s="866">
        <f t="shared" si="497"/>
        <v>14.356999999999999</v>
      </c>
      <c r="O560" s="866">
        <f t="shared" si="497"/>
        <v>14.311999999999998</v>
      </c>
      <c r="P560" s="865">
        <f t="shared" si="498"/>
        <v>54.027999999999999</v>
      </c>
      <c r="Q560" s="866">
        <f t="shared" si="498"/>
        <v>15.167</v>
      </c>
      <c r="R560" s="866">
        <f t="shared" si="499"/>
        <v>15.581000000000001</v>
      </c>
      <c r="S560" s="866">
        <f t="shared" si="499"/>
        <v>16.047000000000001</v>
      </c>
      <c r="T560" s="866">
        <f t="shared" si="499"/>
        <v>15.488</v>
      </c>
      <c r="U560" s="865">
        <f t="shared" si="500"/>
        <v>62.283000000000001</v>
      </c>
      <c r="V560" s="866">
        <f t="shared" si="500"/>
        <v>14.798</v>
      </c>
      <c r="W560" s="866">
        <f t="shared" si="501"/>
        <v>14.130999999999998</v>
      </c>
      <c r="X560" s="866">
        <f t="shared" si="501"/>
        <v>14.41</v>
      </c>
      <c r="Y560" s="866">
        <f t="shared" si="501"/>
        <v>14.189</v>
      </c>
      <c r="Z560" s="865">
        <f t="shared" si="502"/>
        <v>57.527999999999999</v>
      </c>
      <c r="AA560" s="866">
        <f t="shared" si="502"/>
        <v>15.048999999999999</v>
      </c>
      <c r="AB560" s="866">
        <f t="shared" si="503"/>
        <v>18.551000000000002</v>
      </c>
      <c r="AC560" s="866">
        <f t="shared" si="503"/>
        <v>19.238</v>
      </c>
      <c r="AD560" s="866">
        <f t="shared" si="503"/>
        <v>19.073</v>
      </c>
      <c r="AE560" s="865">
        <f t="shared" si="504"/>
        <v>71.911000000000001</v>
      </c>
      <c r="AF560" s="866">
        <f t="shared" si="504"/>
        <v>19.041</v>
      </c>
      <c r="AG560" s="866">
        <f t="shared" si="505"/>
        <v>19.736000000000001</v>
      </c>
      <c r="AH560" s="866">
        <f t="shared" si="505"/>
        <v>21.161000000000001</v>
      </c>
      <c r="AI560" s="866">
        <f t="shared" si="505"/>
        <v>23.218999999999994</v>
      </c>
      <c r="AJ560" s="865">
        <f t="shared" si="506"/>
        <v>83.156999999999996</v>
      </c>
      <c r="AK560" s="866">
        <f t="shared" si="506"/>
        <v>23.561</v>
      </c>
      <c r="AL560" s="866">
        <f t="shared" si="507"/>
        <v>25.496000000000002</v>
      </c>
      <c r="AM560" s="866">
        <f t="shared" si="507"/>
        <v>26.703999999999994</v>
      </c>
      <c r="AN560" s="866">
        <f t="shared" si="507"/>
        <v>27.817999999999998</v>
      </c>
      <c r="AO560" s="865">
        <f t="shared" si="508"/>
        <v>103.57899999999999</v>
      </c>
      <c r="AP560" s="866">
        <f t="shared" si="508"/>
        <v>28.516999999999999</v>
      </c>
      <c r="AQ560" s="866">
        <f t="shared" si="509"/>
        <v>26.660999999999998</v>
      </c>
      <c r="AR560" s="866">
        <f t="shared" si="510"/>
        <v>28.588999999999999</v>
      </c>
      <c r="AS560" s="866">
        <f t="shared" si="511"/>
        <v>31.942999999999998</v>
      </c>
      <c r="AT560" s="865">
        <f t="shared" si="512"/>
        <v>115.71</v>
      </c>
      <c r="AU560" s="866">
        <f t="shared" si="512"/>
        <v>35.741</v>
      </c>
      <c r="AV560" s="866">
        <f t="shared" si="513"/>
        <v>38.433999999999997</v>
      </c>
      <c r="AW560" s="878">
        <f t="shared" si="514"/>
        <v>70.253</v>
      </c>
      <c r="AX560" s="867">
        <f>AX392</f>
        <v>76.883895890410955</v>
      </c>
      <c r="AY560" s="864">
        <f t="shared" si="515"/>
        <v>221.31189589041094</v>
      </c>
      <c r="AZ560" s="867">
        <f t="shared" ref="AZ560:BC561" si="517">AZ392</f>
        <v>67.440975510602371</v>
      </c>
      <c r="BA560" s="867">
        <f t="shared" si="517"/>
        <v>69.976159875484157</v>
      </c>
      <c r="BB560" s="867">
        <f t="shared" si="517"/>
        <v>72.41001229305121</v>
      </c>
      <c r="BC560" s="867">
        <f t="shared" si="517"/>
        <v>73.939933803157075</v>
      </c>
      <c r="BD560" s="864">
        <f t="shared" si="516"/>
        <v>283.76708148229483</v>
      </c>
      <c r="BE560" s="864">
        <f t="shared" ref="BE560:BG561" si="518">BE392</f>
        <v>299.08186497800472</v>
      </c>
      <c r="BF560" s="864">
        <f t="shared" si="518"/>
        <v>321.2838546828437</v>
      </c>
      <c r="BG560" s="864">
        <f t="shared" si="518"/>
        <v>338.6014066526181</v>
      </c>
      <c r="BH560" s="821"/>
    </row>
    <row r="561" spans="1:60" customFormat="1" x14ac:dyDescent="0.25">
      <c r="A561" s="367" t="str">
        <f t="shared" si="493"/>
        <v>Stock-based compensation expense</v>
      </c>
      <c r="B561" s="289"/>
      <c r="C561" s="865">
        <f t="shared" si="494"/>
        <v>12.618</v>
      </c>
      <c r="D561" s="865">
        <f t="shared" si="494"/>
        <v>27.995999999999999</v>
      </c>
      <c r="E561" s="865">
        <f t="shared" si="494"/>
        <v>61.582000000000001</v>
      </c>
      <c r="F561" s="865">
        <f t="shared" si="494"/>
        <v>73.947999999999993</v>
      </c>
      <c r="G561" s="866">
        <f t="shared" si="494"/>
        <v>17.745999999999999</v>
      </c>
      <c r="H561" s="866">
        <f t="shared" si="495"/>
        <v>17.955000000000002</v>
      </c>
      <c r="I561" s="866">
        <f t="shared" si="495"/>
        <v>18.476999999999997</v>
      </c>
      <c r="J561" s="866">
        <f t="shared" si="495"/>
        <v>18.921999999999997</v>
      </c>
      <c r="K561" s="865">
        <f t="shared" si="496"/>
        <v>73.099999999999994</v>
      </c>
      <c r="L561" s="866">
        <f t="shared" si="496"/>
        <v>25.824999999999999</v>
      </c>
      <c r="M561" s="866">
        <f t="shared" si="497"/>
        <v>29.285</v>
      </c>
      <c r="N561" s="866">
        <f t="shared" si="497"/>
        <v>29.878</v>
      </c>
      <c r="O561" s="866">
        <f t="shared" si="497"/>
        <v>30.251000000000005</v>
      </c>
      <c r="P561" s="865">
        <f t="shared" si="498"/>
        <v>115.239</v>
      </c>
      <c r="Q561" s="866">
        <f t="shared" si="498"/>
        <v>27.440999999999999</v>
      </c>
      <c r="R561" s="866">
        <f t="shared" si="499"/>
        <v>28.59</v>
      </c>
      <c r="S561" s="866">
        <f t="shared" si="499"/>
        <v>32.833999999999996</v>
      </c>
      <c r="T561" s="866">
        <f t="shared" si="499"/>
        <v>35.86</v>
      </c>
      <c r="U561" s="865">
        <f t="shared" si="500"/>
        <v>124.72499999999999</v>
      </c>
      <c r="V561" s="866">
        <f t="shared" si="500"/>
        <v>42.421999999999997</v>
      </c>
      <c r="W561" s="866">
        <f t="shared" si="501"/>
        <v>44.112000000000009</v>
      </c>
      <c r="X561" s="866">
        <f t="shared" si="501"/>
        <v>43.49499999999999</v>
      </c>
      <c r="Y561" s="866">
        <f t="shared" si="501"/>
        <v>43.646000000000015</v>
      </c>
      <c r="Z561" s="865">
        <f t="shared" si="502"/>
        <v>173.67500000000001</v>
      </c>
      <c r="AA561" s="866">
        <f t="shared" si="502"/>
        <v>44.887999999999998</v>
      </c>
      <c r="AB561" s="866">
        <f t="shared" si="503"/>
        <v>44.027999999999999</v>
      </c>
      <c r="AC561" s="866">
        <f t="shared" si="503"/>
        <v>44.763000000000005</v>
      </c>
      <c r="AD561" s="866">
        <f t="shared" si="503"/>
        <v>48.53</v>
      </c>
      <c r="AE561" s="865">
        <f t="shared" si="504"/>
        <v>182.209</v>
      </c>
      <c r="AF561" s="866">
        <f t="shared" si="504"/>
        <v>68.394999999999996</v>
      </c>
      <c r="AG561" s="866">
        <f t="shared" si="505"/>
        <v>81.232000000000014</v>
      </c>
      <c r="AH561" s="866">
        <f t="shared" si="505"/>
        <v>82.316000000000003</v>
      </c>
      <c r="AI561" s="866">
        <f t="shared" si="505"/>
        <v>88.71399999999997</v>
      </c>
      <c r="AJ561" s="865">
        <f t="shared" si="506"/>
        <v>320.65699999999998</v>
      </c>
      <c r="AK561" s="866">
        <f t="shared" si="506"/>
        <v>101.2</v>
      </c>
      <c r="AL561" s="866">
        <f t="shared" si="507"/>
        <v>103.848</v>
      </c>
      <c r="AM561" s="866">
        <f t="shared" si="507"/>
        <v>100.262</v>
      </c>
      <c r="AN561" s="866">
        <f t="shared" si="507"/>
        <v>100.06599999999997</v>
      </c>
      <c r="AO561" s="865">
        <f t="shared" si="508"/>
        <v>405.37599999999998</v>
      </c>
      <c r="AP561" s="866">
        <f t="shared" si="508"/>
        <v>97.019000000000005</v>
      </c>
      <c r="AQ561" s="866">
        <f t="shared" si="509"/>
        <v>104.21000000000001</v>
      </c>
      <c r="AR561" s="866">
        <f t="shared" si="510"/>
        <v>106.357</v>
      </c>
      <c r="AS561" s="866">
        <f t="shared" si="511"/>
        <v>107.59399999999999</v>
      </c>
      <c r="AT561" s="865">
        <f t="shared" si="512"/>
        <v>415.18</v>
      </c>
      <c r="AU561" s="866">
        <f t="shared" si="512"/>
        <v>107.23</v>
      </c>
      <c r="AV561" s="866">
        <f t="shared" si="513"/>
        <v>101.58299999999998</v>
      </c>
      <c r="AW561" s="878">
        <f t="shared" si="514"/>
        <v>95.078000000000031</v>
      </c>
      <c r="AX561" s="867">
        <f>AX393</f>
        <v>100.40314235203201</v>
      </c>
      <c r="AY561" s="864">
        <f t="shared" si="515"/>
        <v>404.29414235203205</v>
      </c>
      <c r="AZ561" s="867">
        <f t="shared" si="517"/>
        <v>103.97265755020493</v>
      </c>
      <c r="BA561" s="867">
        <f t="shared" si="517"/>
        <v>106.94955753962445</v>
      </c>
      <c r="BB561" s="867">
        <f t="shared" si="517"/>
        <v>110.03630461734542</v>
      </c>
      <c r="BC561" s="867">
        <f t="shared" si="517"/>
        <v>113.31290830429202</v>
      </c>
      <c r="BD561" s="864">
        <f t="shared" si="516"/>
        <v>434.27142801146681</v>
      </c>
      <c r="BE561" s="864">
        <f t="shared" si="518"/>
        <v>490.10913821209419</v>
      </c>
      <c r="BF561" s="864">
        <f t="shared" si="518"/>
        <v>557.87856939670883</v>
      </c>
      <c r="BG561" s="864">
        <f t="shared" si="518"/>
        <v>636.48096995325886</v>
      </c>
      <c r="BH561" s="821"/>
    </row>
    <row r="562" spans="1:60" customFormat="1" x14ac:dyDescent="0.25">
      <c r="A562" s="367" t="str">
        <f t="shared" si="493"/>
        <v>Excess tax benefits from stock-based compensation</v>
      </c>
      <c r="B562" s="289"/>
      <c r="C562" s="865">
        <f t="shared" si="494"/>
        <v>-12.683</v>
      </c>
      <c r="D562" s="865">
        <f t="shared" si="494"/>
        <v>-62.213999999999999</v>
      </c>
      <c r="E562" s="865">
        <f t="shared" si="494"/>
        <v>-45.783999999999999</v>
      </c>
      <c r="F562" s="865">
        <f t="shared" si="494"/>
        <v>-4.5430000000000001</v>
      </c>
      <c r="G562" s="866">
        <f t="shared" si="494"/>
        <v>-11.615</v>
      </c>
      <c r="H562" s="866">
        <f t="shared" si="495"/>
        <v>-20.368000000000002</v>
      </c>
      <c r="I562" s="866">
        <f t="shared" si="495"/>
        <v>-20.492000000000001</v>
      </c>
      <c r="J562" s="866">
        <f t="shared" si="495"/>
        <v>-29.187999999999995</v>
      </c>
      <c r="K562" s="865">
        <f t="shared" si="496"/>
        <v>-81.662999999999997</v>
      </c>
      <c r="L562" s="866">
        <f t="shared" si="496"/>
        <v>-32.731999999999999</v>
      </c>
      <c r="M562" s="866">
        <f t="shared" si="497"/>
        <v>-14.628</v>
      </c>
      <c r="N562" s="866">
        <f t="shared" si="497"/>
        <v>-21.060000000000002</v>
      </c>
      <c r="O562" s="866">
        <f t="shared" si="497"/>
        <v>-20.920999999999992</v>
      </c>
      <c r="P562" s="865">
        <f t="shared" si="498"/>
        <v>-89.340999999999994</v>
      </c>
      <c r="Q562" s="866">
        <f t="shared" si="498"/>
        <v>-29.001000000000001</v>
      </c>
      <c r="R562" s="866">
        <f t="shared" si="499"/>
        <v>-39.426999999999992</v>
      </c>
      <c r="S562" s="866">
        <f t="shared" si="499"/>
        <v>-37.725999999999999</v>
      </c>
      <c r="T562" s="866">
        <f t="shared" si="499"/>
        <v>25.682999999999993</v>
      </c>
      <c r="U562" s="865">
        <f t="shared" si="500"/>
        <v>-80.471000000000004</v>
      </c>
      <c r="V562" s="866">
        <f t="shared" si="500"/>
        <v>-11.316000000000001</v>
      </c>
      <c r="W562" s="866">
        <f t="shared" si="501"/>
        <v>-13.322999999999999</v>
      </c>
      <c r="X562" s="866">
        <f t="shared" si="501"/>
        <v>-12.762000000000004</v>
      </c>
      <c r="Y562" s="866">
        <f t="shared" si="501"/>
        <v>-27.719999999999992</v>
      </c>
      <c r="Z562" s="865">
        <f t="shared" si="502"/>
        <v>-65.120999999999995</v>
      </c>
      <c r="AA562" s="866">
        <f t="shared" si="502"/>
        <v>0</v>
      </c>
      <c r="AB562" s="866">
        <f t="shared" si="503"/>
        <v>0</v>
      </c>
      <c r="AC562" s="866">
        <f t="shared" si="503"/>
        <v>0</v>
      </c>
      <c r="AD562" s="866">
        <f t="shared" si="503"/>
        <v>0</v>
      </c>
      <c r="AE562" s="865">
        <f t="shared" si="504"/>
        <v>0</v>
      </c>
      <c r="AF562" s="866">
        <f t="shared" si="504"/>
        <v>0</v>
      </c>
      <c r="AG562" s="866">
        <f t="shared" si="505"/>
        <v>0</v>
      </c>
      <c r="AH562" s="866">
        <f t="shared" si="505"/>
        <v>0</v>
      </c>
      <c r="AI562" s="866">
        <f t="shared" si="505"/>
        <v>0</v>
      </c>
      <c r="AJ562" s="865">
        <f t="shared" si="506"/>
        <v>0</v>
      </c>
      <c r="AK562" s="866">
        <f t="shared" si="506"/>
        <v>0</v>
      </c>
      <c r="AL562" s="866">
        <f t="shared" si="507"/>
        <v>0</v>
      </c>
      <c r="AM562" s="866">
        <f t="shared" si="507"/>
        <v>0</v>
      </c>
      <c r="AN562" s="866">
        <f t="shared" si="507"/>
        <v>0</v>
      </c>
      <c r="AO562" s="865">
        <f t="shared" si="508"/>
        <v>0</v>
      </c>
      <c r="AP562" s="866">
        <f t="shared" si="508"/>
        <v>0</v>
      </c>
      <c r="AQ562" s="866">
        <f t="shared" si="509"/>
        <v>0</v>
      </c>
      <c r="AR562" s="866">
        <f t="shared" si="510"/>
        <v>0</v>
      </c>
      <c r="AS562" s="866">
        <f t="shared" si="511"/>
        <v>0</v>
      </c>
      <c r="AT562" s="865">
        <f t="shared" si="512"/>
        <v>0</v>
      </c>
      <c r="AU562" s="866">
        <f t="shared" si="512"/>
        <v>0</v>
      </c>
      <c r="AV562" s="866">
        <f t="shared" si="513"/>
        <v>0</v>
      </c>
      <c r="AW562" s="878">
        <f t="shared" si="514"/>
        <v>0</v>
      </c>
      <c r="AX562" s="867"/>
      <c r="AY562" s="864">
        <f t="shared" si="515"/>
        <v>0</v>
      </c>
      <c r="AZ562" s="867"/>
      <c r="BA562" s="867"/>
      <c r="BB562" s="867"/>
      <c r="BC562" s="867"/>
      <c r="BD562" s="864">
        <f t="shared" si="516"/>
        <v>0</v>
      </c>
      <c r="BE562" s="864"/>
      <c r="BF562" s="864"/>
      <c r="BG562" s="864"/>
      <c r="BH562" s="821"/>
    </row>
    <row r="563" spans="1:60" customFormat="1" x14ac:dyDescent="0.25">
      <c r="A563" s="367" t="str">
        <f t="shared" si="493"/>
        <v>Other non-cash items</v>
      </c>
      <c r="B563" s="289"/>
      <c r="C563" s="865">
        <f t="shared" si="494"/>
        <v>-7.1609999999999996</v>
      </c>
      <c r="D563" s="865">
        <f t="shared" si="494"/>
        <v>-9.1280000000000001</v>
      </c>
      <c r="E563" s="865">
        <f t="shared" si="494"/>
        <v>-4.05</v>
      </c>
      <c r="F563" s="865">
        <f t="shared" si="494"/>
        <v>-8.3919999999999995</v>
      </c>
      <c r="G563" s="866">
        <f t="shared" si="494"/>
        <v>1.75</v>
      </c>
      <c r="H563" s="866">
        <f t="shared" si="495"/>
        <v>1.1880000000000002</v>
      </c>
      <c r="I563" s="866">
        <f t="shared" si="495"/>
        <v>1.9940000000000002</v>
      </c>
      <c r="J563" s="866">
        <f t="shared" si="495"/>
        <v>0.39999999999999947</v>
      </c>
      <c r="K563" s="865">
        <f t="shared" si="496"/>
        <v>5.3319999999999999</v>
      </c>
      <c r="L563" s="866">
        <f t="shared" si="496"/>
        <v>2.1960000000000002</v>
      </c>
      <c r="M563" s="866">
        <f t="shared" si="497"/>
        <v>3.2509999999999999</v>
      </c>
      <c r="N563" s="866">
        <f t="shared" si="497"/>
        <v>3.3600000000000003</v>
      </c>
      <c r="O563" s="866">
        <f t="shared" si="497"/>
        <v>6.4749999999999996</v>
      </c>
      <c r="P563" s="865">
        <f t="shared" si="498"/>
        <v>15.282</v>
      </c>
      <c r="Q563" s="866">
        <f t="shared" si="498"/>
        <v>6.306</v>
      </c>
      <c r="R563" s="866">
        <f t="shared" si="499"/>
        <v>6.6819999999999995</v>
      </c>
      <c r="S563" s="866">
        <f t="shared" si="499"/>
        <v>10.866</v>
      </c>
      <c r="T563" s="866">
        <f t="shared" si="499"/>
        <v>7.7740000000000009</v>
      </c>
      <c r="U563" s="865">
        <f t="shared" si="500"/>
        <v>31.628</v>
      </c>
      <c r="V563" s="866">
        <f t="shared" si="500"/>
        <v>12.757</v>
      </c>
      <c r="W563" s="866">
        <f t="shared" si="501"/>
        <v>9.0400000000000009</v>
      </c>
      <c r="X563" s="866">
        <f t="shared" si="501"/>
        <v>9.6819999999999986</v>
      </c>
      <c r="Y563" s="866">
        <f t="shared" si="501"/>
        <v>9.43</v>
      </c>
      <c r="Z563" s="865">
        <f t="shared" si="502"/>
        <v>40.908999999999999</v>
      </c>
      <c r="AA563" s="866">
        <f t="shared" si="502"/>
        <v>21.666</v>
      </c>
      <c r="AB563" s="866">
        <f t="shared" si="503"/>
        <v>11.519000000000002</v>
      </c>
      <c r="AC563" s="866">
        <f t="shared" si="503"/>
        <v>9.8960000000000008</v>
      </c>
      <c r="AD563" s="866">
        <f t="shared" si="503"/>
        <v>14.125999999999998</v>
      </c>
      <c r="AE563" s="865">
        <f t="shared" si="504"/>
        <v>57.207000000000001</v>
      </c>
      <c r="AF563" s="866">
        <f t="shared" si="504"/>
        <v>8.2089999999999996</v>
      </c>
      <c r="AG563" s="866">
        <f t="shared" si="505"/>
        <v>13.920999999999999</v>
      </c>
      <c r="AH563" s="866">
        <f t="shared" si="505"/>
        <v>8.9619999999999997</v>
      </c>
      <c r="AI563" s="866">
        <f t="shared" si="505"/>
        <v>9.3359999999999985</v>
      </c>
      <c r="AJ563" s="865">
        <f t="shared" si="506"/>
        <v>40.427999999999997</v>
      </c>
      <c r="AK563" s="866">
        <f t="shared" si="506"/>
        <v>45.707999999999998</v>
      </c>
      <c r="AL563" s="866">
        <f t="shared" si="507"/>
        <v>60.695000000000007</v>
      </c>
      <c r="AM563" s="866">
        <f t="shared" si="507"/>
        <v>57.933999999999983</v>
      </c>
      <c r="AN563" s="866">
        <f t="shared" si="507"/>
        <v>63.893000000000001</v>
      </c>
      <c r="AO563" s="865">
        <f t="shared" si="508"/>
        <v>228.23</v>
      </c>
      <c r="AP563" s="866">
        <f t="shared" si="508"/>
        <v>65.447999999999993</v>
      </c>
      <c r="AQ563" s="866">
        <f t="shared" si="509"/>
        <v>70.301000000000002</v>
      </c>
      <c r="AR563" s="866">
        <f t="shared" si="510"/>
        <v>83.850999999999999</v>
      </c>
      <c r="AS563" s="866">
        <f t="shared" si="511"/>
        <v>73.525999999999982</v>
      </c>
      <c r="AT563" s="865">
        <f t="shared" si="512"/>
        <v>293.12599999999998</v>
      </c>
      <c r="AU563" s="866">
        <f t="shared" si="512"/>
        <v>72.656999999999996</v>
      </c>
      <c r="AV563" s="866">
        <f t="shared" si="513"/>
        <v>108.10299999999999</v>
      </c>
      <c r="AW563" s="878">
        <f t="shared" si="514"/>
        <v>102.21100000000001</v>
      </c>
      <c r="AX563" s="867"/>
      <c r="AY563" s="864">
        <f t="shared" si="515"/>
        <v>282.971</v>
      </c>
      <c r="AZ563" s="867"/>
      <c r="BA563" s="867"/>
      <c r="BB563" s="867"/>
      <c r="BC563" s="867"/>
      <c r="BD563" s="864">
        <f t="shared" si="516"/>
        <v>0</v>
      </c>
      <c r="BE563" s="864"/>
      <c r="BF563" s="864"/>
      <c r="BG563" s="864"/>
      <c r="BH563" s="821"/>
    </row>
    <row r="564" spans="1:60" customFormat="1" x14ac:dyDescent="0.25">
      <c r="A564" s="367" t="str">
        <f t="shared" si="493"/>
        <v>Loss on extinguishment of debt</v>
      </c>
      <c r="B564" s="289"/>
      <c r="C564" s="865">
        <f t="shared" si="494"/>
        <v>0</v>
      </c>
      <c r="D564" s="865">
        <f t="shared" si="494"/>
        <v>0</v>
      </c>
      <c r="E564" s="865">
        <f t="shared" si="494"/>
        <v>0</v>
      </c>
      <c r="F564" s="865">
        <f t="shared" si="494"/>
        <v>0</v>
      </c>
      <c r="G564" s="866">
        <f t="shared" si="494"/>
        <v>25.129000000000001</v>
      </c>
      <c r="H564" s="866">
        <f t="shared" si="495"/>
        <v>0</v>
      </c>
      <c r="I564" s="866">
        <f t="shared" si="495"/>
        <v>0</v>
      </c>
      <c r="J564" s="866">
        <f t="shared" si="495"/>
        <v>0</v>
      </c>
      <c r="K564" s="865">
        <f t="shared" si="496"/>
        <v>25.129000000000001</v>
      </c>
      <c r="L564" s="866">
        <f t="shared" si="496"/>
        <v>0</v>
      </c>
      <c r="M564" s="866">
        <f t="shared" si="497"/>
        <v>0</v>
      </c>
      <c r="N564" s="866">
        <f t="shared" si="497"/>
        <v>0</v>
      </c>
      <c r="O564" s="866">
        <f t="shared" si="497"/>
        <v>0</v>
      </c>
      <c r="P564" s="865">
        <f t="shared" si="498"/>
        <v>0</v>
      </c>
      <c r="Q564" s="866">
        <f t="shared" si="498"/>
        <v>0</v>
      </c>
      <c r="R564" s="866">
        <f t="shared" si="499"/>
        <v>0</v>
      </c>
      <c r="S564" s="866">
        <f t="shared" si="499"/>
        <v>0</v>
      </c>
      <c r="T564" s="866">
        <f t="shared" si="499"/>
        <v>0</v>
      </c>
      <c r="U564" s="865">
        <f t="shared" si="500"/>
        <v>0</v>
      </c>
      <c r="V564" s="866">
        <f t="shared" si="500"/>
        <v>0</v>
      </c>
      <c r="W564" s="866">
        <f t="shared" si="501"/>
        <v>0</v>
      </c>
      <c r="X564" s="866">
        <f t="shared" si="501"/>
        <v>0</v>
      </c>
      <c r="Y564" s="866">
        <f t="shared" si="501"/>
        <v>0</v>
      </c>
      <c r="Z564" s="865">
        <f t="shared" si="502"/>
        <v>0</v>
      </c>
      <c r="AA564" s="866">
        <f t="shared" si="502"/>
        <v>0</v>
      </c>
      <c r="AB564" s="866">
        <f t="shared" si="503"/>
        <v>0</v>
      </c>
      <c r="AC564" s="866">
        <f t="shared" si="503"/>
        <v>0</v>
      </c>
      <c r="AD564" s="866">
        <f t="shared" si="503"/>
        <v>0</v>
      </c>
      <c r="AE564" s="865">
        <f t="shared" si="504"/>
        <v>0</v>
      </c>
      <c r="AF564" s="866">
        <f t="shared" si="504"/>
        <v>0</v>
      </c>
      <c r="AG564" s="866">
        <f t="shared" si="505"/>
        <v>0</v>
      </c>
      <c r="AH564" s="866">
        <f t="shared" si="505"/>
        <v>0</v>
      </c>
      <c r="AI564" s="866">
        <f t="shared" si="505"/>
        <v>0</v>
      </c>
      <c r="AJ564" s="865">
        <f t="shared" si="506"/>
        <v>0</v>
      </c>
      <c r="AK564" s="866">
        <f t="shared" si="506"/>
        <v>0</v>
      </c>
      <c r="AL564" s="866">
        <f t="shared" si="507"/>
        <v>0</v>
      </c>
      <c r="AM564" s="866">
        <f t="shared" si="507"/>
        <v>0</v>
      </c>
      <c r="AN564" s="866">
        <f t="shared" si="507"/>
        <v>0</v>
      </c>
      <c r="AO564" s="865">
        <f t="shared" si="508"/>
        <v>0</v>
      </c>
      <c r="AP564" s="866">
        <f t="shared" si="508"/>
        <v>0</v>
      </c>
      <c r="AQ564" s="866">
        <f t="shared" si="509"/>
        <v>0</v>
      </c>
      <c r="AR564" s="866">
        <f t="shared" si="510"/>
        <v>0</v>
      </c>
      <c r="AS564" s="866">
        <f t="shared" si="511"/>
        <v>0</v>
      </c>
      <c r="AT564" s="865">
        <f t="shared" si="512"/>
        <v>0</v>
      </c>
      <c r="AU564" s="866">
        <f t="shared" si="512"/>
        <v>0</v>
      </c>
      <c r="AV564" s="866">
        <f t="shared" si="513"/>
        <v>0</v>
      </c>
      <c r="AW564" s="878">
        <f t="shared" si="514"/>
        <v>0</v>
      </c>
      <c r="AX564" s="867"/>
      <c r="AY564" s="864">
        <f t="shared" si="515"/>
        <v>0</v>
      </c>
      <c r="AZ564" s="867"/>
      <c r="BA564" s="867"/>
      <c r="BB564" s="867"/>
      <c r="BC564" s="867"/>
      <c r="BD564" s="864">
        <f t="shared" si="516"/>
        <v>0</v>
      </c>
      <c r="BE564" s="864"/>
      <c r="BF564" s="864"/>
      <c r="BG564" s="864"/>
      <c r="BH564" s="821"/>
    </row>
    <row r="565" spans="1:60" customFormat="1" x14ac:dyDescent="0.25">
      <c r="A565" s="367" t="str">
        <f t="shared" si="493"/>
        <v>Foreign currency remeasurement loss on long-term debt</v>
      </c>
      <c r="B565" s="289"/>
      <c r="C565" s="865">
        <f t="shared" si="494"/>
        <v>0</v>
      </c>
      <c r="D565" s="865">
        <f t="shared" si="494"/>
        <v>0</v>
      </c>
      <c r="E565" s="865">
        <f t="shared" si="494"/>
        <v>0</v>
      </c>
      <c r="F565" s="865">
        <f t="shared" si="494"/>
        <v>0</v>
      </c>
      <c r="G565" s="866">
        <f t="shared" si="494"/>
        <v>0</v>
      </c>
      <c r="H565" s="866">
        <f t="shared" si="495"/>
        <v>0</v>
      </c>
      <c r="I565" s="866">
        <f t="shared" si="495"/>
        <v>0</v>
      </c>
      <c r="J565" s="866">
        <f t="shared" si="495"/>
        <v>0</v>
      </c>
      <c r="K565" s="865">
        <f t="shared" si="496"/>
        <v>0</v>
      </c>
      <c r="L565" s="866">
        <f t="shared" si="496"/>
        <v>0</v>
      </c>
      <c r="M565" s="866">
        <f t="shared" si="497"/>
        <v>0</v>
      </c>
      <c r="N565" s="866">
        <f t="shared" si="497"/>
        <v>0</v>
      </c>
      <c r="O565" s="866">
        <f t="shared" si="497"/>
        <v>0</v>
      </c>
      <c r="P565" s="865">
        <f t="shared" si="498"/>
        <v>0</v>
      </c>
      <c r="Q565" s="866">
        <f t="shared" si="498"/>
        <v>0</v>
      </c>
      <c r="R565" s="866">
        <f t="shared" si="499"/>
        <v>0</v>
      </c>
      <c r="S565" s="866">
        <f t="shared" si="499"/>
        <v>0</v>
      </c>
      <c r="T565" s="866">
        <f t="shared" si="499"/>
        <v>0</v>
      </c>
      <c r="U565" s="865">
        <f t="shared" si="500"/>
        <v>0</v>
      </c>
      <c r="V565" s="866">
        <f t="shared" si="500"/>
        <v>0</v>
      </c>
      <c r="W565" s="866">
        <f t="shared" si="501"/>
        <v>0</v>
      </c>
      <c r="X565" s="866">
        <f t="shared" si="501"/>
        <v>0</v>
      </c>
      <c r="Y565" s="866">
        <f t="shared" si="501"/>
        <v>0</v>
      </c>
      <c r="Z565" s="865">
        <f t="shared" si="502"/>
        <v>0</v>
      </c>
      <c r="AA565" s="866">
        <f t="shared" si="502"/>
        <v>0</v>
      </c>
      <c r="AB565" s="866">
        <f t="shared" si="503"/>
        <v>64.22</v>
      </c>
      <c r="AC565" s="866">
        <f t="shared" si="503"/>
        <v>50.83</v>
      </c>
      <c r="AD565" s="866">
        <f t="shared" si="503"/>
        <v>25.739999999999995</v>
      </c>
      <c r="AE565" s="865">
        <f t="shared" si="504"/>
        <v>140.79</v>
      </c>
      <c r="AF565" s="866">
        <f t="shared" si="504"/>
        <v>41.08</v>
      </c>
      <c r="AG565" s="866">
        <f t="shared" si="505"/>
        <v>-85.41</v>
      </c>
      <c r="AH565" s="866">
        <f t="shared" si="505"/>
        <v>-7.6700000000000017</v>
      </c>
      <c r="AI565" s="866">
        <f t="shared" si="505"/>
        <v>-21.953000000000003</v>
      </c>
      <c r="AJ565" s="865">
        <f t="shared" si="506"/>
        <v>-73.953000000000003</v>
      </c>
      <c r="AK565" s="866">
        <f t="shared" si="506"/>
        <v>-57.6</v>
      </c>
      <c r="AL565" s="866">
        <f t="shared" si="507"/>
        <v>61.283999999999999</v>
      </c>
      <c r="AM565" s="866">
        <f t="shared" si="507"/>
        <v>-171.35999999999999</v>
      </c>
      <c r="AN565" s="866">
        <f t="shared" si="507"/>
        <v>122.1</v>
      </c>
      <c r="AO565" s="865">
        <f t="shared" si="508"/>
        <v>-45.576000000000001</v>
      </c>
      <c r="AP565" s="866">
        <f t="shared" si="508"/>
        <v>-93.06</v>
      </c>
      <c r="AQ565" s="866">
        <f t="shared" si="509"/>
        <v>119.161</v>
      </c>
      <c r="AR565" s="866">
        <f t="shared" si="510"/>
        <v>249.19400000000002</v>
      </c>
      <c r="AS565" s="866">
        <f t="shared" si="511"/>
        <v>257.983</v>
      </c>
      <c r="AT565" s="865">
        <f t="shared" si="512"/>
        <v>533.27800000000002</v>
      </c>
      <c r="AU565" s="866">
        <f t="shared" si="512"/>
        <v>-253.33</v>
      </c>
      <c r="AV565" s="866">
        <f t="shared" si="513"/>
        <v>63.074000000000012</v>
      </c>
      <c r="AW565" s="878">
        <f t="shared" si="514"/>
        <v>-136.48800000000003</v>
      </c>
      <c r="AX565" s="867"/>
      <c r="AY565" s="864">
        <f t="shared" si="515"/>
        <v>-326.74400000000003</v>
      </c>
      <c r="AZ565" s="867"/>
      <c r="BA565" s="867"/>
      <c r="BB565" s="867"/>
      <c r="BC565" s="867"/>
      <c r="BD565" s="864">
        <f t="shared" si="516"/>
        <v>0</v>
      </c>
      <c r="BE565" s="864"/>
      <c r="BF565" s="864"/>
      <c r="BG565" s="864"/>
      <c r="BH565" s="821"/>
    </row>
    <row r="566" spans="1:60" customFormat="1" x14ac:dyDescent="0.25">
      <c r="A566" s="367" t="str">
        <f t="shared" si="493"/>
        <v>Deferred taxes</v>
      </c>
      <c r="B566" s="289"/>
      <c r="C566" s="865">
        <f t="shared" si="494"/>
        <v>6.3280000000000003</v>
      </c>
      <c r="D566" s="865">
        <f t="shared" si="494"/>
        <v>-0.96199999999999997</v>
      </c>
      <c r="E566" s="865">
        <f t="shared" si="494"/>
        <v>-18.597000000000001</v>
      </c>
      <c r="F566" s="865">
        <f t="shared" si="494"/>
        <v>-30.071000000000002</v>
      </c>
      <c r="G566" s="866">
        <f t="shared" si="494"/>
        <v>-6.7480000000000002</v>
      </c>
      <c r="H566" s="866">
        <f t="shared" si="495"/>
        <v>-2.04</v>
      </c>
      <c r="I566" s="866">
        <f t="shared" si="495"/>
        <v>-2.4239999999999995</v>
      </c>
      <c r="J566" s="866">
        <f t="shared" si="495"/>
        <v>-10.832000000000001</v>
      </c>
      <c r="K566" s="865">
        <f t="shared" si="496"/>
        <v>-22.044</v>
      </c>
      <c r="L566" s="866">
        <f t="shared" si="496"/>
        <v>-13.103</v>
      </c>
      <c r="M566" s="866">
        <f t="shared" si="497"/>
        <v>-16.569000000000003</v>
      </c>
      <c r="N566" s="866">
        <f t="shared" si="497"/>
        <v>-7.8919999999999995</v>
      </c>
      <c r="O566" s="866">
        <f t="shared" si="497"/>
        <v>7.5010000000000012</v>
      </c>
      <c r="P566" s="865">
        <f t="shared" si="498"/>
        <v>-30.062999999999999</v>
      </c>
      <c r="Q566" s="866">
        <f t="shared" si="498"/>
        <v>-37.042000000000002</v>
      </c>
      <c r="R566" s="866">
        <f t="shared" si="499"/>
        <v>-4.2319999999999993</v>
      </c>
      <c r="S566" s="866">
        <f t="shared" si="499"/>
        <v>-29.417000000000002</v>
      </c>
      <c r="T566" s="866">
        <f t="shared" si="499"/>
        <v>12.036000000000001</v>
      </c>
      <c r="U566" s="865">
        <f t="shared" si="500"/>
        <v>-58.655000000000001</v>
      </c>
      <c r="V566" s="866">
        <f t="shared" si="500"/>
        <v>-16.603000000000002</v>
      </c>
      <c r="W566" s="866">
        <f t="shared" si="501"/>
        <v>-17.875999999999998</v>
      </c>
      <c r="X566" s="866">
        <f t="shared" si="501"/>
        <v>14.338000000000001</v>
      </c>
      <c r="Y566" s="866">
        <f t="shared" si="501"/>
        <v>-26.706000000000003</v>
      </c>
      <c r="Z566" s="865">
        <f t="shared" si="502"/>
        <v>-46.847000000000001</v>
      </c>
      <c r="AA566" s="866">
        <f t="shared" si="502"/>
        <v>-26.763999999999999</v>
      </c>
      <c r="AB566" s="866">
        <f t="shared" si="503"/>
        <v>-20.702000000000002</v>
      </c>
      <c r="AC566" s="866">
        <f t="shared" si="503"/>
        <v>-57.089999999999996</v>
      </c>
      <c r="AD566" s="866">
        <f t="shared" si="503"/>
        <v>-104.13199999999999</v>
      </c>
      <c r="AE566" s="865">
        <f t="shared" si="504"/>
        <v>-208.68799999999999</v>
      </c>
      <c r="AF566" s="866">
        <f t="shared" si="504"/>
        <v>-22.048999999999999</v>
      </c>
      <c r="AG566" s="866">
        <f t="shared" si="505"/>
        <v>-9.5390000000000015</v>
      </c>
      <c r="AH566" s="866">
        <f t="shared" si="505"/>
        <v>-39.452999999999996</v>
      </c>
      <c r="AI566" s="866">
        <f t="shared" si="505"/>
        <v>-14.478999999999999</v>
      </c>
      <c r="AJ566" s="865">
        <f t="shared" si="506"/>
        <v>-85.52</v>
      </c>
      <c r="AK566" s="866">
        <f t="shared" si="506"/>
        <v>6.6269999999999998</v>
      </c>
      <c r="AL566" s="866">
        <f t="shared" si="507"/>
        <v>35.518999999999998</v>
      </c>
      <c r="AM566" s="866">
        <f t="shared" si="507"/>
        <v>52.105000000000004</v>
      </c>
      <c r="AN566" s="866">
        <f t="shared" si="507"/>
        <v>-188.69400000000002</v>
      </c>
      <c r="AO566" s="865">
        <f t="shared" si="508"/>
        <v>-94.442999999999998</v>
      </c>
      <c r="AP566" s="866">
        <f t="shared" si="508"/>
        <v>46.619</v>
      </c>
      <c r="AQ566" s="866">
        <f t="shared" si="509"/>
        <v>223.30800000000002</v>
      </c>
      <c r="AR566" s="866">
        <f t="shared" si="510"/>
        <v>-40.277000000000015</v>
      </c>
      <c r="AS566" s="866">
        <f t="shared" si="511"/>
        <v>-159.584</v>
      </c>
      <c r="AT566" s="865">
        <f t="shared" si="512"/>
        <v>70.066000000000003</v>
      </c>
      <c r="AU566" s="866">
        <f t="shared" si="512"/>
        <v>159.733</v>
      </c>
      <c r="AV566" s="866">
        <f t="shared" si="513"/>
        <v>51.12700000000001</v>
      </c>
      <c r="AW566" s="878">
        <f t="shared" si="514"/>
        <v>50.966999999999985</v>
      </c>
      <c r="AX566" s="867">
        <f>AX405</f>
        <v>-25.025077093113442</v>
      </c>
      <c r="AY566" s="864">
        <f t="shared" si="515"/>
        <v>236.80192290688655</v>
      </c>
      <c r="AZ566" s="867">
        <f ca="1">AZ405</f>
        <v>-101.11027241122079</v>
      </c>
      <c r="BA566" s="867">
        <f ca="1">BA405</f>
        <v>-98.837604666742067</v>
      </c>
      <c r="BB566" s="867">
        <f ca="1">BB405</f>
        <v>-99.207670946113296</v>
      </c>
      <c r="BC566" s="867">
        <f ca="1">BC405</f>
        <v>-65.702824747357482</v>
      </c>
      <c r="BD566" s="864">
        <f t="shared" ca="1" si="516"/>
        <v>-364.85837277143366</v>
      </c>
      <c r="BE566" s="864">
        <f ca="1">BE405</f>
        <v>-475.07329153053035</v>
      </c>
      <c r="BF566" s="864">
        <f ca="1">BF405</f>
        <v>-601.49966755715184</v>
      </c>
      <c r="BG566" s="864">
        <f ca="1">BG405</f>
        <v>-778.66499384994756</v>
      </c>
      <c r="BH566" s="821"/>
    </row>
    <row r="567" spans="1:60" customFormat="1" x14ac:dyDescent="0.25">
      <c r="A567" s="113" t="str">
        <f t="shared" si="493"/>
        <v>Gain on sale of business</v>
      </c>
      <c r="B567" s="441"/>
      <c r="C567" s="886">
        <f t="shared" si="494"/>
        <v>-1.7829999999999999</v>
      </c>
      <c r="D567" s="886">
        <f t="shared" si="494"/>
        <v>0</v>
      </c>
      <c r="E567" s="886">
        <f t="shared" si="494"/>
        <v>0</v>
      </c>
      <c r="F567" s="886">
        <f t="shared" si="494"/>
        <v>0</v>
      </c>
      <c r="G567" s="885">
        <f t="shared" si="494"/>
        <v>0</v>
      </c>
      <c r="H567" s="885">
        <f t="shared" si="495"/>
        <v>0</v>
      </c>
      <c r="I567" s="885">
        <f t="shared" si="495"/>
        <v>0</v>
      </c>
      <c r="J567" s="885">
        <f t="shared" si="495"/>
        <v>0</v>
      </c>
      <c r="K567" s="886">
        <f t="shared" si="496"/>
        <v>0</v>
      </c>
      <c r="L567" s="885">
        <f t="shared" si="496"/>
        <v>0</v>
      </c>
      <c r="M567" s="885">
        <f t="shared" si="497"/>
        <v>0</v>
      </c>
      <c r="N567" s="885">
        <f t="shared" si="497"/>
        <v>0</v>
      </c>
      <c r="O567" s="885">
        <f t="shared" si="497"/>
        <v>0</v>
      </c>
      <c r="P567" s="886">
        <f t="shared" si="498"/>
        <v>0</v>
      </c>
      <c r="Q567" s="885">
        <f t="shared" si="498"/>
        <v>0</v>
      </c>
      <c r="R567" s="885">
        <f t="shared" si="499"/>
        <v>0</v>
      </c>
      <c r="S567" s="885">
        <f t="shared" si="499"/>
        <v>0</v>
      </c>
      <c r="T567" s="885">
        <f t="shared" si="499"/>
        <v>0</v>
      </c>
      <c r="U567" s="886">
        <f t="shared" si="500"/>
        <v>0</v>
      </c>
      <c r="V567" s="885">
        <f t="shared" si="500"/>
        <v>0</v>
      </c>
      <c r="W567" s="885">
        <f t="shared" si="501"/>
        <v>0</v>
      </c>
      <c r="X567" s="885">
        <f t="shared" si="501"/>
        <v>0</v>
      </c>
      <c r="Y567" s="885">
        <f t="shared" si="501"/>
        <v>0</v>
      </c>
      <c r="Z567" s="886">
        <f t="shared" si="502"/>
        <v>0</v>
      </c>
      <c r="AA567" s="885">
        <f t="shared" si="502"/>
        <v>0</v>
      </c>
      <c r="AB567" s="885">
        <f t="shared" si="503"/>
        <v>0</v>
      </c>
      <c r="AC567" s="885">
        <f t="shared" si="503"/>
        <v>0</v>
      </c>
      <c r="AD567" s="885">
        <f t="shared" si="503"/>
        <v>0</v>
      </c>
      <c r="AE567" s="886">
        <f t="shared" si="504"/>
        <v>0</v>
      </c>
      <c r="AF567" s="885">
        <f t="shared" si="504"/>
        <v>0</v>
      </c>
      <c r="AG567" s="885">
        <f t="shared" si="505"/>
        <v>0</v>
      </c>
      <c r="AH567" s="885">
        <f t="shared" si="505"/>
        <v>0</v>
      </c>
      <c r="AI567" s="885">
        <f t="shared" si="505"/>
        <v>0</v>
      </c>
      <c r="AJ567" s="886">
        <f t="shared" si="506"/>
        <v>0</v>
      </c>
      <c r="AK567" s="885">
        <f t="shared" si="506"/>
        <v>0</v>
      </c>
      <c r="AL567" s="885">
        <f t="shared" si="507"/>
        <v>0</v>
      </c>
      <c r="AM567" s="885">
        <f t="shared" si="507"/>
        <v>0</v>
      </c>
      <c r="AN567" s="885">
        <f t="shared" si="507"/>
        <v>0</v>
      </c>
      <c r="AO567" s="886">
        <f t="shared" si="508"/>
        <v>0</v>
      </c>
      <c r="AP567" s="885">
        <f t="shared" si="508"/>
        <v>0</v>
      </c>
      <c r="AQ567" s="885">
        <f t="shared" si="509"/>
        <v>0</v>
      </c>
      <c r="AR567" s="885">
        <f t="shared" si="510"/>
        <v>0</v>
      </c>
      <c r="AS567" s="885">
        <f t="shared" si="511"/>
        <v>0</v>
      </c>
      <c r="AT567" s="886">
        <f t="shared" si="512"/>
        <v>0</v>
      </c>
      <c r="AU567" s="885">
        <f t="shared" si="512"/>
        <v>0</v>
      </c>
      <c r="AV567" s="885">
        <f t="shared" si="513"/>
        <v>0</v>
      </c>
      <c r="AW567" s="891">
        <f t="shared" si="514"/>
        <v>0</v>
      </c>
      <c r="AX567" s="882"/>
      <c r="AY567" s="881">
        <f t="shared" si="515"/>
        <v>0</v>
      </c>
      <c r="AZ567" s="882"/>
      <c r="BA567" s="882"/>
      <c r="BB567" s="882"/>
      <c r="BC567" s="882"/>
      <c r="BD567" s="881">
        <f t="shared" si="516"/>
        <v>0</v>
      </c>
      <c r="BE567" s="881"/>
      <c r="BF567" s="881"/>
      <c r="BG567" s="881"/>
      <c r="BH567" s="821"/>
    </row>
    <row r="568" spans="1:60" customFormat="1" x14ac:dyDescent="0.25">
      <c r="A568" s="61" t="str">
        <f t="shared" si="493"/>
        <v>CFO before WC</v>
      </c>
      <c r="B568" s="505"/>
      <c r="C568" s="872">
        <f t="shared" ref="C568:AH568" si="519">SUM(C555:C567)</f>
        <v>302.48199999999997</v>
      </c>
      <c r="D568" s="872">
        <f t="shared" si="519"/>
        <v>217.26100000000002</v>
      </c>
      <c r="E568" s="872">
        <f t="shared" si="519"/>
        <v>202.11900000000017</v>
      </c>
      <c r="F568" s="872">
        <f t="shared" si="519"/>
        <v>-3.239999999999803</v>
      </c>
      <c r="G568" s="871">
        <f t="shared" si="519"/>
        <v>-37.262000000000022</v>
      </c>
      <c r="H568" s="871">
        <f t="shared" si="519"/>
        <v>-19.978999999999957</v>
      </c>
      <c r="I568" s="871">
        <f t="shared" si="519"/>
        <v>43.646000000000178</v>
      </c>
      <c r="J568" s="871">
        <f t="shared" si="519"/>
        <v>-8.4409999999998178</v>
      </c>
      <c r="K568" s="872">
        <f t="shared" si="519"/>
        <v>-22.035999999999937</v>
      </c>
      <c r="L568" s="871">
        <f t="shared" si="519"/>
        <v>-42.615999999999957</v>
      </c>
      <c r="M568" s="871">
        <f t="shared" si="519"/>
        <v>6.3390000000000235</v>
      </c>
      <c r="N568" s="871">
        <f t="shared" si="519"/>
        <v>-73.371000000000123</v>
      </c>
      <c r="O568" s="871">
        <f t="shared" si="519"/>
        <v>-10.971999999999678</v>
      </c>
      <c r="P568" s="872">
        <f t="shared" si="519"/>
        <v>-120.61999999999988</v>
      </c>
      <c r="Q568" s="871">
        <f t="shared" si="519"/>
        <v>-208.32999999999996</v>
      </c>
      <c r="R568" s="871">
        <f t="shared" si="519"/>
        <v>-205.58099999999999</v>
      </c>
      <c r="S568" s="871">
        <f t="shared" si="519"/>
        <v>-292.23099999999999</v>
      </c>
      <c r="T568" s="871">
        <f t="shared" si="519"/>
        <v>-216.18399999999997</v>
      </c>
      <c r="U568" s="872">
        <f t="shared" si="519"/>
        <v>-922.32599999999979</v>
      </c>
      <c r="V568" s="871">
        <f t="shared" si="519"/>
        <v>-262.19800000000038</v>
      </c>
      <c r="W568" s="871">
        <f t="shared" si="519"/>
        <v>-281.02799999999928</v>
      </c>
      <c r="X568" s="871">
        <f t="shared" si="519"/>
        <v>-548.1230000000005</v>
      </c>
      <c r="Y568" s="871">
        <f t="shared" si="519"/>
        <v>-575.01500000000055</v>
      </c>
      <c r="Z568" s="872">
        <f t="shared" si="519"/>
        <v>-1666.3640000000009</v>
      </c>
      <c r="AA568" s="871">
        <f t="shared" si="519"/>
        <v>-425.06699999999995</v>
      </c>
      <c r="AB568" s="871">
        <f t="shared" si="519"/>
        <v>-399.01000000000067</v>
      </c>
      <c r="AC568" s="871">
        <f t="shared" si="519"/>
        <v>-511.64099999999968</v>
      </c>
      <c r="AD568" s="871">
        <f t="shared" si="519"/>
        <v>-509.20700000000062</v>
      </c>
      <c r="AE568" s="872">
        <f t="shared" si="519"/>
        <v>-1844.9250000000011</v>
      </c>
      <c r="AF568" s="871">
        <f t="shared" si="519"/>
        <v>-443.08399999999926</v>
      </c>
      <c r="AG568" s="871">
        <f t="shared" si="519"/>
        <v>-511.98700000000008</v>
      </c>
      <c r="AH568" s="871">
        <f t="shared" si="519"/>
        <v>-782.97199999999987</v>
      </c>
      <c r="AI568" s="871">
        <f t="shared" ref="AI568:AY568" si="520">SUM(AI555:AI567)</f>
        <v>-1236.2030000000002</v>
      </c>
      <c r="AJ568" s="872">
        <f t="shared" si="520"/>
        <v>-2974.2460000000005</v>
      </c>
      <c r="AK568" s="871">
        <f t="shared" si="520"/>
        <v>-424.20999999999964</v>
      </c>
      <c r="AL568" s="871">
        <f t="shared" si="520"/>
        <v>-548.1100000000007</v>
      </c>
      <c r="AM568" s="871">
        <f t="shared" si="520"/>
        <v>-732.97399999999891</v>
      </c>
      <c r="AN568" s="871">
        <f t="shared" si="520"/>
        <v>-1225.0710000000022</v>
      </c>
      <c r="AO568" s="872">
        <f t="shared" si="520"/>
        <v>-2930.365000000003</v>
      </c>
      <c r="AP568" s="871">
        <f t="shared" si="520"/>
        <v>301.6650000000003</v>
      </c>
      <c r="AQ568" s="871">
        <f t="shared" si="520"/>
        <v>1251.7819999999999</v>
      </c>
      <c r="AR568" s="871">
        <f>SUM(AR555:AR567)</f>
        <v>918.08900000000085</v>
      </c>
      <c r="AS568" s="871">
        <f>SUM(AS555:AS567)</f>
        <v>-12.586000000000723</v>
      </c>
      <c r="AT568" s="872">
        <f>SUM(AT555:AT567)</f>
        <v>2458.9499999999998</v>
      </c>
      <c r="AU568" s="871">
        <f t="shared" ref="AU568" si="521">SUM(AU555:AU567)</f>
        <v>997.32599999999979</v>
      </c>
      <c r="AV568" s="871">
        <f>SUM(AV555:AV567)</f>
        <v>113.17899999999972</v>
      </c>
      <c r="AW568" s="873">
        <f>SUM(AW555:AW567)</f>
        <v>-101.3400000000008</v>
      </c>
      <c r="AX568" s="870">
        <f t="shared" si="520"/>
        <v>271.5603459323691</v>
      </c>
      <c r="AY568" s="869">
        <f t="shared" si="520"/>
        <v>1280.7253459323672</v>
      </c>
      <c r="AZ568" s="870">
        <f t="shared" ref="AZ568:BG568" ca="1" si="522">SUM(AZ555:AZ567)</f>
        <v>1136.6384881714866</v>
      </c>
      <c r="BA568" s="870">
        <f t="shared" ca="1" si="522"/>
        <v>1160.0774344260517</v>
      </c>
      <c r="BB568" s="870">
        <f t="shared" ca="1" si="522"/>
        <v>1292.8979589021146</v>
      </c>
      <c r="BC568" s="870">
        <f t="shared" ca="1" si="522"/>
        <v>862.27079863117058</v>
      </c>
      <c r="BD568" s="869">
        <f t="shared" ca="1" si="522"/>
        <v>4451.8846801308237</v>
      </c>
      <c r="BE568" s="869">
        <f t="shared" ca="1" si="522"/>
        <v>6867.4865262580552</v>
      </c>
      <c r="BF568" s="869">
        <f t="shared" ca="1" si="522"/>
        <v>9863.1226361945191</v>
      </c>
      <c r="BG568" s="869">
        <f t="shared" ca="1" si="522"/>
        <v>13222.66613696791</v>
      </c>
      <c r="BH568" s="824"/>
    </row>
    <row r="569" spans="1:60" customFormat="1" x14ac:dyDescent="0.25">
      <c r="A569" s="367" t="str">
        <f t="shared" si="493"/>
        <v>Prepaid content</v>
      </c>
      <c r="B569" s="289"/>
      <c r="C569" s="865">
        <f t="shared" ref="C569:G574" si="523">C509</f>
        <v>-5.6429999999999998</v>
      </c>
      <c r="D569" s="865">
        <f t="shared" si="523"/>
        <v>-35.475999999999999</v>
      </c>
      <c r="E569" s="865">
        <f t="shared" si="523"/>
        <v>6.2110000000000003</v>
      </c>
      <c r="F569" s="865">
        <f t="shared" si="523"/>
        <v>0</v>
      </c>
      <c r="G569" s="866">
        <f t="shared" si="523"/>
        <v>0</v>
      </c>
      <c r="H569" s="866">
        <f t="shared" ref="H569:J574" si="524">H509-G509</f>
        <v>0</v>
      </c>
      <c r="I569" s="866">
        <f t="shared" si="524"/>
        <v>0</v>
      </c>
      <c r="J569" s="866">
        <f t="shared" si="524"/>
        <v>0</v>
      </c>
      <c r="K569" s="865">
        <f t="shared" ref="K569:L574" si="525">K509</f>
        <v>0</v>
      </c>
      <c r="L569" s="866">
        <f t="shared" si="525"/>
        <v>0</v>
      </c>
      <c r="M569" s="866">
        <f t="shared" ref="M569:O574" si="526">M509-L509</f>
        <v>0</v>
      </c>
      <c r="N569" s="866">
        <f t="shared" si="526"/>
        <v>0</v>
      </c>
      <c r="O569" s="866">
        <f t="shared" si="526"/>
        <v>0</v>
      </c>
      <c r="P569" s="865">
        <f t="shared" ref="P569:Q574" si="527">P509</f>
        <v>0</v>
      </c>
      <c r="Q569" s="866">
        <f t="shared" si="527"/>
        <v>0</v>
      </c>
      <c r="R569" s="866">
        <f t="shared" ref="R569:T574" si="528">R509-Q509</f>
        <v>0</v>
      </c>
      <c r="S569" s="866">
        <f t="shared" si="528"/>
        <v>0</v>
      </c>
      <c r="T569" s="866">
        <f t="shared" si="528"/>
        <v>0</v>
      </c>
      <c r="U569" s="865">
        <f t="shared" ref="U569:V574" si="529">U509</f>
        <v>0</v>
      </c>
      <c r="V569" s="866">
        <f t="shared" si="529"/>
        <v>0</v>
      </c>
      <c r="W569" s="866">
        <f t="shared" ref="W569:Y574" si="530">W509-V509</f>
        <v>0</v>
      </c>
      <c r="X569" s="866">
        <f t="shared" si="530"/>
        <v>0</v>
      </c>
      <c r="Y569" s="866">
        <f t="shared" si="530"/>
        <v>0</v>
      </c>
      <c r="Z569" s="865">
        <f t="shared" ref="Z569:AA574" si="531">Z509</f>
        <v>0</v>
      </c>
      <c r="AA569" s="866">
        <f t="shared" si="531"/>
        <v>0</v>
      </c>
      <c r="AB569" s="866">
        <f t="shared" ref="AB569:AD574" si="532">AB509-AA509</f>
        <v>0</v>
      </c>
      <c r="AC569" s="866">
        <f t="shared" si="532"/>
        <v>0</v>
      </c>
      <c r="AD569" s="866">
        <f t="shared" si="532"/>
        <v>0</v>
      </c>
      <c r="AE569" s="865">
        <f t="shared" ref="AE569:AF574" si="533">AE509</f>
        <v>0</v>
      </c>
      <c r="AF569" s="866">
        <f t="shared" si="533"/>
        <v>0</v>
      </c>
      <c r="AG569" s="866">
        <f t="shared" ref="AG569:AI574" si="534">AG509-AF509</f>
        <v>0</v>
      </c>
      <c r="AH569" s="866">
        <f t="shared" si="534"/>
        <v>0</v>
      </c>
      <c r="AI569" s="866">
        <f t="shared" si="534"/>
        <v>0</v>
      </c>
      <c r="AJ569" s="865">
        <f t="shared" ref="AJ569:AK574" si="535">AJ509</f>
        <v>0</v>
      </c>
      <c r="AK569" s="866">
        <f t="shared" si="535"/>
        <v>0</v>
      </c>
      <c r="AL569" s="866">
        <f t="shared" ref="AL569:AN574" si="536">AL509-AK509</f>
        <v>0</v>
      </c>
      <c r="AM569" s="866">
        <f t="shared" si="536"/>
        <v>0</v>
      </c>
      <c r="AN569" s="866">
        <f t="shared" si="536"/>
        <v>0</v>
      </c>
      <c r="AO569" s="865">
        <f t="shared" ref="AO569:AP574" si="537">AO509</f>
        <v>0</v>
      </c>
      <c r="AP569" s="866">
        <f t="shared" si="537"/>
        <v>0</v>
      </c>
      <c r="AQ569" s="866">
        <f t="shared" ref="AQ569:AQ574" si="538">AQ509-AP509</f>
        <v>0</v>
      </c>
      <c r="AR569" s="866">
        <f t="shared" ref="AR569:AR574" si="539">AR509-AQ509</f>
        <v>0</v>
      </c>
      <c r="AS569" s="866">
        <f t="shared" ref="AS569:AS574" si="540">AS509-AR509</f>
        <v>0</v>
      </c>
      <c r="AT569" s="865">
        <f t="shared" ref="AT569:AU574" si="541">AT509</f>
        <v>0</v>
      </c>
      <c r="AU569" s="866">
        <f t="shared" si="541"/>
        <v>0</v>
      </c>
      <c r="AV569" s="866">
        <f t="shared" ref="AV569:AV574" si="542">AV509-AU509</f>
        <v>0</v>
      </c>
      <c r="AW569" s="878">
        <f t="shared" ref="AW569:AW574" si="543">AW509-AV509</f>
        <v>0</v>
      </c>
      <c r="AX569" s="867"/>
      <c r="AY569" s="864">
        <f t="shared" ref="AY569:AY574" si="544">SUM(AU569,AV569,AW569,AX569)</f>
        <v>0</v>
      </c>
      <c r="AZ569" s="867"/>
      <c r="BA569" s="867"/>
      <c r="BB569" s="867"/>
      <c r="BC569" s="867"/>
      <c r="BD569" s="864">
        <f t="shared" ref="BD569:BD574" si="545">SUM(AZ569,BA569,BB569,BC569)</f>
        <v>0</v>
      </c>
      <c r="BE569" s="864"/>
      <c r="BF569" s="864"/>
      <c r="BG569" s="864"/>
      <c r="BH569" s="821"/>
    </row>
    <row r="570" spans="1:60" customFormat="1" x14ac:dyDescent="0.25">
      <c r="A570" s="367" t="str">
        <f t="shared" si="493"/>
        <v>Other current assets</v>
      </c>
      <c r="B570" s="289"/>
      <c r="C570" s="865">
        <f t="shared" si="523"/>
        <v>-5.3579999999999997</v>
      </c>
      <c r="D570" s="865">
        <f t="shared" si="523"/>
        <v>-18.027000000000001</v>
      </c>
      <c r="E570" s="865">
        <f t="shared" si="523"/>
        <v>-4.7750000000000004</v>
      </c>
      <c r="F570" s="865">
        <f t="shared" si="523"/>
        <v>-5.4320000000000004</v>
      </c>
      <c r="G570" s="866">
        <f t="shared" si="523"/>
        <v>-5.7270000000000003</v>
      </c>
      <c r="H570" s="866">
        <f t="shared" si="524"/>
        <v>33.762</v>
      </c>
      <c r="I570" s="866">
        <f t="shared" si="524"/>
        <v>9.9199999999999982</v>
      </c>
      <c r="J570" s="866">
        <f t="shared" si="524"/>
        <v>24.279000000000003</v>
      </c>
      <c r="K570" s="865">
        <f t="shared" si="525"/>
        <v>62.234000000000002</v>
      </c>
      <c r="L570" s="866">
        <f t="shared" si="525"/>
        <v>35.066000000000003</v>
      </c>
      <c r="M570" s="866">
        <f t="shared" si="526"/>
        <v>-20.685000000000002</v>
      </c>
      <c r="N570" s="866">
        <f t="shared" si="526"/>
        <v>12.96</v>
      </c>
      <c r="O570" s="866">
        <f t="shared" si="526"/>
        <v>-36.099000000000004</v>
      </c>
      <c r="P570" s="865">
        <f t="shared" si="527"/>
        <v>-8.7579999999999991</v>
      </c>
      <c r="Q570" s="866">
        <f t="shared" si="527"/>
        <v>23.109000000000002</v>
      </c>
      <c r="R570" s="866">
        <f t="shared" si="528"/>
        <v>-39.614000000000004</v>
      </c>
      <c r="S570" s="866">
        <f t="shared" si="528"/>
        <v>71.171999999999997</v>
      </c>
      <c r="T570" s="866">
        <f t="shared" si="528"/>
        <v>-35.974000000000004</v>
      </c>
      <c r="U570" s="865">
        <f t="shared" si="529"/>
        <v>18.693000000000001</v>
      </c>
      <c r="V570" s="866">
        <f t="shared" si="529"/>
        <v>14.308</v>
      </c>
      <c r="W570" s="866">
        <f t="shared" si="530"/>
        <v>24.091000000000001</v>
      </c>
      <c r="X570" s="866">
        <f t="shared" si="530"/>
        <v>10.25</v>
      </c>
      <c r="Y570" s="866">
        <f t="shared" si="530"/>
        <v>-1.679000000000002</v>
      </c>
      <c r="Z570" s="865">
        <f t="shared" si="531"/>
        <v>46.97</v>
      </c>
      <c r="AA570" s="866">
        <f t="shared" si="531"/>
        <v>-25.402000000000001</v>
      </c>
      <c r="AB570" s="866">
        <f t="shared" si="532"/>
        <v>-80.198999999999998</v>
      </c>
      <c r="AC570" s="866">
        <f t="shared" si="532"/>
        <v>-41.399000000000001</v>
      </c>
      <c r="AD570" s="866">
        <f t="shared" si="532"/>
        <v>-87.09</v>
      </c>
      <c r="AE570" s="865">
        <f t="shared" si="533"/>
        <v>-234.09</v>
      </c>
      <c r="AF570" s="866">
        <f t="shared" si="533"/>
        <v>-55.905000000000001</v>
      </c>
      <c r="AG570" s="866">
        <f t="shared" si="534"/>
        <v>-25.563999999999993</v>
      </c>
      <c r="AH570" s="866">
        <f t="shared" si="534"/>
        <v>-30.364000000000004</v>
      </c>
      <c r="AI570" s="866">
        <f t="shared" si="534"/>
        <v>-88.359000000000009</v>
      </c>
      <c r="AJ570" s="865">
        <f t="shared" si="535"/>
        <v>-200.19200000000001</v>
      </c>
      <c r="AK570" s="866">
        <f t="shared" si="535"/>
        <v>-32.076000000000001</v>
      </c>
      <c r="AL570" s="866">
        <f t="shared" si="536"/>
        <v>-24.231000000000002</v>
      </c>
      <c r="AM570" s="866">
        <f t="shared" si="536"/>
        <v>0.14500000000000313</v>
      </c>
      <c r="AN570" s="866">
        <f t="shared" si="536"/>
        <v>-195.95099999999999</v>
      </c>
      <c r="AO570" s="865">
        <f t="shared" si="537"/>
        <v>-252.113</v>
      </c>
      <c r="AP570" s="866">
        <f t="shared" si="537"/>
        <v>-127.35299999999999</v>
      </c>
      <c r="AQ570" s="866">
        <f t="shared" si="538"/>
        <v>3.0659999999999883</v>
      </c>
      <c r="AR570" s="866">
        <f t="shared" si="539"/>
        <v>-22.97399999999999</v>
      </c>
      <c r="AS570" s="866">
        <f t="shared" si="540"/>
        <v>-40.361999999999995</v>
      </c>
      <c r="AT570" s="865">
        <f t="shared" si="541"/>
        <v>-187.62299999999999</v>
      </c>
      <c r="AU570" s="866">
        <f t="shared" si="541"/>
        <v>-221.55500000000001</v>
      </c>
      <c r="AV570" s="866">
        <f t="shared" si="542"/>
        <v>-52.37299999999999</v>
      </c>
      <c r="AW570" s="878">
        <f t="shared" si="543"/>
        <v>-95.144999999999982</v>
      </c>
      <c r="AX570" s="866">
        <f>AW658-AX658</f>
        <v>39.652726615761139</v>
      </c>
      <c r="AY570" s="865">
        <f t="shared" si="544"/>
        <v>-329.42027338423884</v>
      </c>
      <c r="AZ570" s="866">
        <f>AY658-AZ658</f>
        <v>-122.05895475891907</v>
      </c>
      <c r="BA570" s="866">
        <f>AZ658-BA658</f>
        <v>-108.86875238142306</v>
      </c>
      <c r="BB570" s="866">
        <f>BA658-BB658</f>
        <v>-57.820099893957376</v>
      </c>
      <c r="BC570" s="866">
        <f>BB658-BC658</f>
        <v>59.077808226568777</v>
      </c>
      <c r="BD570" s="865">
        <f t="shared" si="545"/>
        <v>-229.66999880773074</v>
      </c>
      <c r="BE570" s="865">
        <f>BD658-BE658</f>
        <v>-267.07472929758524</v>
      </c>
      <c r="BF570" s="865">
        <f>BE658-BF658</f>
        <v>-324.14478357457574</v>
      </c>
      <c r="BG570" s="865">
        <f>BF658-BG658</f>
        <v>-375.95945061774864</v>
      </c>
      <c r="BH570" s="821"/>
    </row>
    <row r="571" spans="1:60" customFormat="1" x14ac:dyDescent="0.25">
      <c r="A571" s="367" t="str">
        <f t="shared" si="493"/>
        <v>Accounts payable</v>
      </c>
      <c r="B571" s="289"/>
      <c r="C571" s="865">
        <f t="shared" si="523"/>
        <v>1.5369999999999999</v>
      </c>
      <c r="D571" s="865">
        <f t="shared" si="523"/>
        <v>19.213999999999999</v>
      </c>
      <c r="E571" s="865">
        <f t="shared" si="523"/>
        <v>23.968</v>
      </c>
      <c r="F571" s="865">
        <f t="shared" si="523"/>
        <v>-4.9429999999999996</v>
      </c>
      <c r="G571" s="866">
        <f t="shared" si="523"/>
        <v>17.018999999999998</v>
      </c>
      <c r="H571" s="866">
        <f t="shared" si="524"/>
        <v>-5.1379999999999981</v>
      </c>
      <c r="I571" s="866">
        <f t="shared" si="524"/>
        <v>-5.8770000000000007</v>
      </c>
      <c r="J571" s="866">
        <f t="shared" si="524"/>
        <v>12.37</v>
      </c>
      <c r="K571" s="865">
        <f t="shared" si="525"/>
        <v>18.373999999999999</v>
      </c>
      <c r="L571" s="866">
        <f t="shared" si="525"/>
        <v>22.812000000000001</v>
      </c>
      <c r="M571" s="866">
        <f t="shared" si="526"/>
        <v>-3.0860000000000021</v>
      </c>
      <c r="N571" s="866">
        <f t="shared" si="526"/>
        <v>13.003</v>
      </c>
      <c r="O571" s="866">
        <f t="shared" si="526"/>
        <v>51.082999999999998</v>
      </c>
      <c r="P571" s="865">
        <f t="shared" si="527"/>
        <v>83.811999999999998</v>
      </c>
      <c r="Q571" s="866">
        <f t="shared" si="527"/>
        <v>-10.625</v>
      </c>
      <c r="R571" s="866">
        <f t="shared" si="528"/>
        <v>6.4470000000000001</v>
      </c>
      <c r="S571" s="866">
        <f t="shared" si="528"/>
        <v>6.7620000000000005</v>
      </c>
      <c r="T571" s="866">
        <f t="shared" si="528"/>
        <v>49.030999999999999</v>
      </c>
      <c r="U571" s="865">
        <f t="shared" si="529"/>
        <v>51.615000000000002</v>
      </c>
      <c r="V571" s="866">
        <f t="shared" si="529"/>
        <v>-19.898</v>
      </c>
      <c r="W571" s="866">
        <f t="shared" si="530"/>
        <v>8.7949999999999999</v>
      </c>
      <c r="X571" s="866">
        <f t="shared" si="530"/>
        <v>27.810000000000002</v>
      </c>
      <c r="Y571" s="866">
        <f t="shared" si="530"/>
        <v>15.54</v>
      </c>
      <c r="Z571" s="865">
        <f t="shared" si="531"/>
        <v>32.247</v>
      </c>
      <c r="AA571" s="866">
        <f t="shared" si="531"/>
        <v>-11</v>
      </c>
      <c r="AB571" s="866">
        <f t="shared" si="532"/>
        <v>-12.439</v>
      </c>
      <c r="AC571" s="866">
        <f t="shared" si="532"/>
        <v>34.028999999999996</v>
      </c>
      <c r="AD571" s="866">
        <f t="shared" si="532"/>
        <v>63.968999999999994</v>
      </c>
      <c r="AE571" s="865">
        <f t="shared" si="533"/>
        <v>74.558999999999997</v>
      </c>
      <c r="AF571" s="866">
        <f t="shared" si="533"/>
        <v>74.082999999999998</v>
      </c>
      <c r="AG571" s="866">
        <f t="shared" si="534"/>
        <v>7.7330000000000041</v>
      </c>
      <c r="AH571" s="866">
        <f t="shared" si="534"/>
        <v>-4.4489999999999981</v>
      </c>
      <c r="AI571" s="866">
        <f t="shared" si="534"/>
        <v>121.831</v>
      </c>
      <c r="AJ571" s="865">
        <f t="shared" si="535"/>
        <v>199.19800000000001</v>
      </c>
      <c r="AK571" s="866">
        <f t="shared" si="535"/>
        <v>-124.467</v>
      </c>
      <c r="AL571" s="866">
        <f t="shared" si="536"/>
        <v>-2.6740000000000066</v>
      </c>
      <c r="AM571" s="866">
        <f t="shared" si="536"/>
        <v>-7.6429999999999865</v>
      </c>
      <c r="AN571" s="866">
        <f t="shared" si="536"/>
        <v>230.84699999999998</v>
      </c>
      <c r="AO571" s="865">
        <f t="shared" si="537"/>
        <v>96.063000000000002</v>
      </c>
      <c r="AP571" s="866">
        <f t="shared" si="537"/>
        <v>-149.15299999999999</v>
      </c>
      <c r="AQ571" s="866">
        <f t="shared" si="538"/>
        <v>-112.02700000000002</v>
      </c>
      <c r="AR571" s="866">
        <f t="shared" si="539"/>
        <v>111.67700000000002</v>
      </c>
      <c r="AS571" s="866">
        <f t="shared" si="540"/>
        <v>107.898</v>
      </c>
      <c r="AT571" s="865">
        <f t="shared" si="541"/>
        <v>-41.604999999999997</v>
      </c>
      <c r="AU571" s="866">
        <f t="shared" si="541"/>
        <v>-137.31299999999999</v>
      </c>
      <c r="AV571" s="866">
        <f t="shared" si="542"/>
        <v>72.312999999999988</v>
      </c>
      <c r="AW571" s="878">
        <f t="shared" si="543"/>
        <v>24.835999999999999</v>
      </c>
      <c r="AX571" s="866">
        <f>AX678-AW678</f>
        <v>136.92034366229427</v>
      </c>
      <c r="AY571" s="865">
        <f t="shared" si="544"/>
        <v>96.75634366229427</v>
      </c>
      <c r="AZ571" s="866">
        <f>AZ678-AY678</f>
        <v>-163.1367815687712</v>
      </c>
      <c r="BA571" s="866">
        <f>BA678-AZ678</f>
        <v>92.949073364775472</v>
      </c>
      <c r="BB571" s="866">
        <f>BB678-BA678</f>
        <v>18.149260779082965</v>
      </c>
      <c r="BC571" s="866">
        <f>BC678-BB678</f>
        <v>149.00215321147903</v>
      </c>
      <c r="BD571" s="865">
        <f t="shared" si="545"/>
        <v>96.963705786566265</v>
      </c>
      <c r="BE571" s="865">
        <f>BE678-BD678</f>
        <v>112.75549966940719</v>
      </c>
      <c r="BF571" s="865">
        <f>BF678-BE678</f>
        <v>136.84973914719853</v>
      </c>
      <c r="BG571" s="865">
        <f>BG678-BF678</f>
        <v>158.7252220430255</v>
      </c>
      <c r="BH571" s="821"/>
    </row>
    <row r="572" spans="1:60" customFormat="1" x14ac:dyDescent="0.25">
      <c r="A572" s="367" t="str">
        <f t="shared" si="493"/>
        <v>Accrued expenses</v>
      </c>
      <c r="B572" s="289"/>
      <c r="C572" s="865">
        <f t="shared" si="523"/>
        <v>13.169</v>
      </c>
      <c r="D572" s="865">
        <f t="shared" si="523"/>
        <v>65.697999999999993</v>
      </c>
      <c r="E572" s="865">
        <f t="shared" si="523"/>
        <v>65.56</v>
      </c>
      <c r="F572" s="865">
        <f t="shared" si="523"/>
        <v>9.8059999999999992</v>
      </c>
      <c r="G572" s="866">
        <f t="shared" si="523"/>
        <v>-4.1319999999999997</v>
      </c>
      <c r="H572" s="866">
        <f t="shared" si="524"/>
        <v>10.494</v>
      </c>
      <c r="I572" s="866">
        <f t="shared" si="524"/>
        <v>-11.451000000000001</v>
      </c>
      <c r="J572" s="866">
        <f t="shared" si="524"/>
        <v>7.03</v>
      </c>
      <c r="K572" s="865">
        <f t="shared" si="525"/>
        <v>1.9410000000000001</v>
      </c>
      <c r="L572" s="866">
        <f t="shared" si="525"/>
        <v>-0.442</v>
      </c>
      <c r="M572" s="866">
        <f t="shared" si="526"/>
        <v>59.008000000000003</v>
      </c>
      <c r="N572" s="866">
        <f t="shared" si="526"/>
        <v>-6.980000000000004</v>
      </c>
      <c r="O572" s="866">
        <f t="shared" si="526"/>
        <v>4.0500000000000043</v>
      </c>
      <c r="P572" s="865">
        <f t="shared" si="527"/>
        <v>55.636000000000003</v>
      </c>
      <c r="Q572" s="866">
        <f t="shared" si="527"/>
        <v>35.921999999999997</v>
      </c>
      <c r="R572" s="866">
        <f t="shared" si="528"/>
        <v>41.624000000000009</v>
      </c>
      <c r="S572" s="866">
        <f t="shared" si="528"/>
        <v>10.882999999999996</v>
      </c>
      <c r="T572" s="866">
        <f t="shared" si="528"/>
        <v>-39.619</v>
      </c>
      <c r="U572" s="865">
        <f t="shared" si="529"/>
        <v>48.81</v>
      </c>
      <c r="V572" s="866">
        <f t="shared" si="529"/>
        <v>41.231999999999999</v>
      </c>
      <c r="W572" s="866">
        <f t="shared" si="530"/>
        <v>2.0990000000000038</v>
      </c>
      <c r="X572" s="866">
        <f t="shared" si="530"/>
        <v>28.956999999999994</v>
      </c>
      <c r="Y572" s="866">
        <f t="shared" si="530"/>
        <v>-3.5819999999999936</v>
      </c>
      <c r="Z572" s="865">
        <f t="shared" si="531"/>
        <v>68.706000000000003</v>
      </c>
      <c r="AA572" s="866">
        <f t="shared" si="531"/>
        <v>93.542000000000002</v>
      </c>
      <c r="AB572" s="866">
        <f t="shared" si="532"/>
        <v>-48.042000000000002</v>
      </c>
      <c r="AC572" s="866">
        <f t="shared" si="532"/>
        <v>74.006</v>
      </c>
      <c r="AD572" s="866">
        <f t="shared" si="532"/>
        <v>-5.1689999999999969</v>
      </c>
      <c r="AE572" s="865">
        <f t="shared" si="533"/>
        <v>114.337</v>
      </c>
      <c r="AF572" s="866">
        <f t="shared" si="533"/>
        <v>119.04900000000001</v>
      </c>
      <c r="AG572" s="866">
        <f t="shared" si="534"/>
        <v>-52.851000000000013</v>
      </c>
      <c r="AH572" s="866">
        <f t="shared" si="534"/>
        <v>134</v>
      </c>
      <c r="AI572" s="866">
        <f t="shared" si="534"/>
        <v>-49.77600000000001</v>
      </c>
      <c r="AJ572" s="865">
        <f t="shared" si="535"/>
        <v>150.422</v>
      </c>
      <c r="AK572" s="866">
        <f t="shared" si="535"/>
        <v>157.64699999999999</v>
      </c>
      <c r="AL572" s="866">
        <f t="shared" si="536"/>
        <v>-26.704999999999984</v>
      </c>
      <c r="AM572" s="866">
        <f t="shared" si="536"/>
        <v>260.87200000000001</v>
      </c>
      <c r="AN572" s="866">
        <f t="shared" si="536"/>
        <v>-234.03600000000003</v>
      </c>
      <c r="AO572" s="865">
        <f t="shared" si="537"/>
        <v>157.77799999999999</v>
      </c>
      <c r="AP572" s="866">
        <f t="shared" si="537"/>
        <v>214.191</v>
      </c>
      <c r="AQ572" s="866">
        <f t="shared" si="538"/>
        <v>-105.45</v>
      </c>
      <c r="AR572" s="866">
        <f t="shared" si="539"/>
        <v>266.02699999999999</v>
      </c>
      <c r="AS572" s="866">
        <f t="shared" si="540"/>
        <v>-176.58499999999998</v>
      </c>
      <c r="AT572" s="865">
        <f t="shared" si="541"/>
        <v>198.18299999999999</v>
      </c>
      <c r="AU572" s="866">
        <f t="shared" si="541"/>
        <v>177.89699999999999</v>
      </c>
      <c r="AV572" s="866">
        <f t="shared" si="542"/>
        <v>-171.42999999999998</v>
      </c>
      <c r="AW572" s="878">
        <f t="shared" si="543"/>
        <v>269.774</v>
      </c>
      <c r="AX572" s="866">
        <f>+AX681-AW681</f>
        <v>-102.98225996832275</v>
      </c>
      <c r="AY572" s="865">
        <f t="shared" si="544"/>
        <v>173.25874003167723</v>
      </c>
      <c r="AZ572" s="866">
        <f>+AZ681-AY681</f>
        <v>185.04301851833043</v>
      </c>
      <c r="BA572" s="866">
        <f>+BA681-AZ681</f>
        <v>-212.63890921654775</v>
      </c>
      <c r="BB572" s="866">
        <f>+BB681-BA681</f>
        <v>317.10583352451818</v>
      </c>
      <c r="BC572" s="866">
        <f>+BC681-BB681</f>
        <v>-126.63920606059673</v>
      </c>
      <c r="BD572" s="865">
        <f t="shared" si="545"/>
        <v>162.87073676570412</v>
      </c>
      <c r="BE572" s="865">
        <f>BE681-BD681</f>
        <v>189.39634326647001</v>
      </c>
      <c r="BF572" s="865">
        <f>BF681-BE681</f>
        <v>229.86763614583992</v>
      </c>
      <c r="BG572" s="865">
        <f>BG681-BF681</f>
        <v>266.61206528504158</v>
      </c>
      <c r="BH572" s="821"/>
    </row>
    <row r="573" spans="1:60" customFormat="1" x14ac:dyDescent="0.25">
      <c r="A573" s="367" t="str">
        <f t="shared" si="493"/>
        <v>Deferred revenue</v>
      </c>
      <c r="B573" s="289"/>
      <c r="C573" s="865">
        <f t="shared" si="523"/>
        <v>16.97</v>
      </c>
      <c r="D573" s="865">
        <f t="shared" si="523"/>
        <v>27.085999999999999</v>
      </c>
      <c r="E573" s="865">
        <f t="shared" si="523"/>
        <v>21.613</v>
      </c>
      <c r="F573" s="865">
        <f t="shared" si="523"/>
        <v>20.675999999999998</v>
      </c>
      <c r="G573" s="866">
        <f t="shared" si="523"/>
        <v>9.4060000000000006</v>
      </c>
      <c r="H573" s="866">
        <f t="shared" si="524"/>
        <v>7.6929999999999996</v>
      </c>
      <c r="I573" s="866">
        <f t="shared" si="524"/>
        <v>9.2519999999999989</v>
      </c>
      <c r="J573" s="866">
        <f t="shared" si="524"/>
        <v>19.944000000000003</v>
      </c>
      <c r="K573" s="865">
        <f t="shared" si="525"/>
        <v>46.295000000000002</v>
      </c>
      <c r="L573" s="866">
        <f t="shared" si="525"/>
        <v>14.247999999999999</v>
      </c>
      <c r="M573" s="866">
        <f t="shared" si="526"/>
        <v>11.315</v>
      </c>
      <c r="N573" s="866">
        <f t="shared" si="526"/>
        <v>11.626000000000001</v>
      </c>
      <c r="O573" s="866">
        <f t="shared" si="526"/>
        <v>21.630000000000003</v>
      </c>
      <c r="P573" s="865">
        <f t="shared" si="527"/>
        <v>58.819000000000003</v>
      </c>
      <c r="Q573" s="866">
        <f t="shared" si="527"/>
        <v>10.754</v>
      </c>
      <c r="R573" s="866">
        <f t="shared" si="528"/>
        <v>16.414000000000001</v>
      </c>
      <c r="S573" s="866">
        <f t="shared" si="528"/>
        <v>27.984999999999999</v>
      </c>
      <c r="T573" s="866">
        <f t="shared" si="528"/>
        <v>16.982000000000006</v>
      </c>
      <c r="U573" s="865">
        <f t="shared" si="529"/>
        <v>72.135000000000005</v>
      </c>
      <c r="V573" s="866">
        <f t="shared" si="529"/>
        <v>27.501999999999999</v>
      </c>
      <c r="W573" s="866">
        <f t="shared" si="530"/>
        <v>22.753000000000004</v>
      </c>
      <c r="X573" s="866">
        <f t="shared" si="530"/>
        <v>30.229999999999997</v>
      </c>
      <c r="Y573" s="866">
        <f t="shared" si="530"/>
        <v>16.266000000000005</v>
      </c>
      <c r="Z573" s="865">
        <f t="shared" si="531"/>
        <v>96.751000000000005</v>
      </c>
      <c r="AA573" s="866">
        <f t="shared" si="531"/>
        <v>15.221</v>
      </c>
      <c r="AB573" s="866">
        <f t="shared" si="532"/>
        <v>46.608999999999995</v>
      </c>
      <c r="AC573" s="866">
        <f t="shared" si="532"/>
        <v>32.947000000000003</v>
      </c>
      <c r="AD573" s="866">
        <f t="shared" si="532"/>
        <v>83.196999999999989</v>
      </c>
      <c r="AE573" s="865">
        <f t="shared" si="533"/>
        <v>177.97399999999999</v>
      </c>
      <c r="AF573" s="866">
        <f t="shared" si="533"/>
        <v>55.27</v>
      </c>
      <c r="AG573" s="866">
        <f t="shared" si="534"/>
        <v>23.847999999999992</v>
      </c>
      <c r="AH573" s="866">
        <f t="shared" si="534"/>
        <v>18.983000000000004</v>
      </c>
      <c r="AI573" s="866">
        <f t="shared" si="534"/>
        <v>44.175999999999988</v>
      </c>
      <c r="AJ573" s="865">
        <f t="shared" si="535"/>
        <v>142.27699999999999</v>
      </c>
      <c r="AK573" s="866">
        <f t="shared" si="535"/>
        <v>47.792999999999999</v>
      </c>
      <c r="AL573" s="866">
        <f t="shared" si="536"/>
        <v>84.08499999999998</v>
      </c>
      <c r="AM573" s="866">
        <f t="shared" si="536"/>
        <v>22.729000000000013</v>
      </c>
      <c r="AN573" s="866">
        <f t="shared" si="536"/>
        <v>9.2390000000000043</v>
      </c>
      <c r="AO573" s="865">
        <f t="shared" si="537"/>
        <v>163.846</v>
      </c>
      <c r="AP573" s="866">
        <f t="shared" si="537"/>
        <v>62.008000000000003</v>
      </c>
      <c r="AQ573" s="866">
        <f t="shared" si="538"/>
        <v>42.508000000000003</v>
      </c>
      <c r="AR573" s="866">
        <f t="shared" si="539"/>
        <v>10.940999999999988</v>
      </c>
      <c r="AS573" s="866">
        <f t="shared" si="540"/>
        <v>77.79000000000002</v>
      </c>
      <c r="AT573" s="865">
        <f t="shared" si="541"/>
        <v>193.24700000000001</v>
      </c>
      <c r="AU573" s="866">
        <f t="shared" si="541"/>
        <v>22.279</v>
      </c>
      <c r="AV573" s="866">
        <f t="shared" si="542"/>
        <v>47.093000000000004</v>
      </c>
      <c r="AW573" s="878">
        <f t="shared" si="543"/>
        <v>-4.7319999999999993</v>
      </c>
      <c r="AX573" s="866">
        <f>+AX684-AW684</f>
        <v>146.28183406716676</v>
      </c>
      <c r="AY573" s="865">
        <f t="shared" si="544"/>
        <v>210.92183406716674</v>
      </c>
      <c r="AZ573" s="866">
        <f>+AZ684-AY684</f>
        <v>-9.1310338357277487</v>
      </c>
      <c r="BA573" s="866">
        <f>+BA684-AZ684</f>
        <v>33.145590624542137</v>
      </c>
      <c r="BB573" s="866">
        <f>+BB684-BA684</f>
        <v>-14.192445944227984</v>
      </c>
      <c r="BC573" s="866">
        <f>+BC684-BB684</f>
        <v>155.38278986106229</v>
      </c>
      <c r="BD573" s="865">
        <f t="shared" si="545"/>
        <v>165.2049007056487</v>
      </c>
      <c r="BE573" s="865">
        <f>BE684-BD684</f>
        <v>192.11065600053644</v>
      </c>
      <c r="BF573" s="865">
        <f>BF684-BE684</f>
        <v>233.16195873507058</v>
      </c>
      <c r="BG573" s="865">
        <f>BG684-BF684</f>
        <v>270.43298659417587</v>
      </c>
      <c r="BH573" s="821"/>
    </row>
    <row r="574" spans="1:60" customFormat="1" x14ac:dyDescent="0.25">
      <c r="A574" s="113" t="str">
        <f t="shared" si="493"/>
        <v>Other non-current assets and liabilities</v>
      </c>
      <c r="B574" s="441"/>
      <c r="C574" s="886">
        <f t="shared" si="523"/>
        <v>1.9059999999999999</v>
      </c>
      <c r="D574" s="886">
        <f t="shared" si="523"/>
        <v>0.64500000000000002</v>
      </c>
      <c r="E574" s="886">
        <f t="shared" si="523"/>
        <v>3.016</v>
      </c>
      <c r="F574" s="886">
        <f t="shared" si="523"/>
        <v>4.7190000000000003</v>
      </c>
      <c r="G574" s="885">
        <f t="shared" si="523"/>
        <v>8.4459999999999997</v>
      </c>
      <c r="H574" s="885">
        <f t="shared" si="524"/>
        <v>7.1110000000000007</v>
      </c>
      <c r="I574" s="885">
        <f t="shared" si="524"/>
        <v>-10.797000000000001</v>
      </c>
      <c r="J574" s="885">
        <f t="shared" si="524"/>
        <v>-13.737</v>
      </c>
      <c r="K574" s="886">
        <f t="shared" si="525"/>
        <v>-8.9770000000000003</v>
      </c>
      <c r="L574" s="885">
        <f t="shared" si="525"/>
        <v>7.2910000000000004</v>
      </c>
      <c r="M574" s="885">
        <f t="shared" si="526"/>
        <v>3.1329999999999991</v>
      </c>
      <c r="N574" s="885">
        <f t="shared" si="526"/>
        <v>5.3230000000000004</v>
      </c>
      <c r="O574" s="885">
        <f t="shared" si="526"/>
        <v>-68.152999999999992</v>
      </c>
      <c r="P574" s="886">
        <f t="shared" si="527"/>
        <v>-52.405999999999999</v>
      </c>
      <c r="Q574" s="885">
        <f t="shared" si="527"/>
        <v>21.788</v>
      </c>
      <c r="R574" s="885">
        <f t="shared" si="528"/>
        <v>-0.63299999999999912</v>
      </c>
      <c r="S574" s="885">
        <f t="shared" si="528"/>
        <v>-20.540000000000003</v>
      </c>
      <c r="T574" s="885">
        <f t="shared" si="528"/>
        <v>-18.980999999999998</v>
      </c>
      <c r="U574" s="886">
        <f t="shared" si="529"/>
        <v>-18.366</v>
      </c>
      <c r="V574" s="885">
        <f t="shared" si="529"/>
        <v>-29.536000000000001</v>
      </c>
      <c r="W574" s="885">
        <f t="shared" si="530"/>
        <v>-3.0030000000000001</v>
      </c>
      <c r="X574" s="885">
        <f t="shared" si="530"/>
        <v>-11.064999999999998</v>
      </c>
      <c r="Y574" s="885">
        <f t="shared" si="530"/>
        <v>-8.6899999999999977</v>
      </c>
      <c r="Z574" s="886">
        <f t="shared" si="531"/>
        <v>-52.293999999999997</v>
      </c>
      <c r="AA574" s="885">
        <f t="shared" si="531"/>
        <v>8.85</v>
      </c>
      <c r="AB574" s="885">
        <f t="shared" si="532"/>
        <v>-41.447000000000003</v>
      </c>
      <c r="AC574" s="885">
        <f t="shared" si="532"/>
        <v>-7.5489999999999995</v>
      </c>
      <c r="AD574" s="885">
        <f t="shared" si="532"/>
        <v>-33.656999999999996</v>
      </c>
      <c r="AE574" s="886">
        <f t="shared" si="533"/>
        <v>-73.802999999999997</v>
      </c>
      <c r="AF574" s="885">
        <f t="shared" si="533"/>
        <v>13.83</v>
      </c>
      <c r="AG574" s="885">
        <f t="shared" si="534"/>
        <v>40.582000000000001</v>
      </c>
      <c r="AH574" s="885">
        <f t="shared" si="534"/>
        <v>-25.608999999999998</v>
      </c>
      <c r="AI574" s="885">
        <f t="shared" si="534"/>
        <v>-26.741</v>
      </c>
      <c r="AJ574" s="886">
        <f t="shared" si="535"/>
        <v>2.0619999999999998</v>
      </c>
      <c r="AK574" s="885">
        <f t="shared" si="535"/>
        <v>-4.4859999999999998</v>
      </c>
      <c r="AL574" s="885">
        <f t="shared" si="536"/>
        <v>-26.119</v>
      </c>
      <c r="AM574" s="885">
        <f t="shared" si="536"/>
        <v>-44.923000000000002</v>
      </c>
      <c r="AN574" s="885">
        <f t="shared" si="536"/>
        <v>-47.003</v>
      </c>
      <c r="AO574" s="886">
        <f t="shared" si="537"/>
        <v>-122.53100000000001</v>
      </c>
      <c r="AP574" s="885">
        <f t="shared" si="537"/>
        <v>-41.445999999999998</v>
      </c>
      <c r="AQ574" s="885">
        <f t="shared" si="538"/>
        <v>-38.802999999999997</v>
      </c>
      <c r="AR574" s="885">
        <f t="shared" si="539"/>
        <v>-19.999000000000009</v>
      </c>
      <c r="AS574" s="885">
        <f t="shared" si="540"/>
        <v>-93.826999999999984</v>
      </c>
      <c r="AT574" s="886">
        <f t="shared" si="541"/>
        <v>-194.07499999999999</v>
      </c>
      <c r="AU574" s="885">
        <f t="shared" si="541"/>
        <v>-61.368000000000002</v>
      </c>
      <c r="AV574" s="885">
        <f t="shared" si="542"/>
        <v>-72.543000000000006</v>
      </c>
      <c r="AW574" s="891">
        <f t="shared" si="543"/>
        <v>-11.01400000000001</v>
      </c>
      <c r="AX574" s="882"/>
      <c r="AY574" s="881">
        <f t="shared" si="544"/>
        <v>-144.92500000000001</v>
      </c>
      <c r="AZ574" s="882"/>
      <c r="BA574" s="882"/>
      <c r="BB574" s="882"/>
      <c r="BC574" s="882"/>
      <c r="BD574" s="881">
        <f t="shared" si="545"/>
        <v>0</v>
      </c>
      <c r="BE574" s="881"/>
      <c r="BF574" s="881"/>
      <c r="BG574" s="881"/>
      <c r="BH574" s="821"/>
    </row>
    <row r="575" spans="1:60" customFormat="1" x14ac:dyDescent="0.25">
      <c r="A575" s="61" t="str">
        <f t="shared" si="493"/>
        <v>Net CFO</v>
      </c>
      <c r="B575" s="505"/>
      <c r="C575" s="872">
        <f t="shared" ref="C575:AH575" si="546">SUM(C568:C574)</f>
        <v>325.06299999999993</v>
      </c>
      <c r="D575" s="872">
        <f t="shared" si="546"/>
        <v>276.40100000000001</v>
      </c>
      <c r="E575" s="872">
        <f t="shared" si="546"/>
        <v>317.71200000000022</v>
      </c>
      <c r="F575" s="872">
        <f t="shared" si="546"/>
        <v>21.586000000000197</v>
      </c>
      <c r="G575" s="871">
        <f t="shared" si="546"/>
        <v>-12.25000000000002</v>
      </c>
      <c r="H575" s="871">
        <f t="shared" si="546"/>
        <v>33.94300000000004</v>
      </c>
      <c r="I575" s="871">
        <f t="shared" si="546"/>
        <v>34.693000000000168</v>
      </c>
      <c r="J575" s="871">
        <f t="shared" si="546"/>
        <v>41.445000000000185</v>
      </c>
      <c r="K575" s="872">
        <f t="shared" si="546"/>
        <v>97.83100000000006</v>
      </c>
      <c r="L575" s="871">
        <f t="shared" si="546"/>
        <v>36.359000000000052</v>
      </c>
      <c r="M575" s="871">
        <f t="shared" si="546"/>
        <v>56.024000000000015</v>
      </c>
      <c r="N575" s="871">
        <f t="shared" si="546"/>
        <v>-37.439000000000128</v>
      </c>
      <c r="O575" s="871">
        <f t="shared" si="546"/>
        <v>-38.460999999999672</v>
      </c>
      <c r="P575" s="872">
        <f t="shared" si="546"/>
        <v>16.483000000000125</v>
      </c>
      <c r="Q575" s="871">
        <f t="shared" si="546"/>
        <v>-127.38199999999996</v>
      </c>
      <c r="R575" s="871">
        <f t="shared" si="546"/>
        <v>-181.34299999999999</v>
      </c>
      <c r="S575" s="871">
        <f t="shared" si="546"/>
        <v>-195.96899999999997</v>
      </c>
      <c r="T575" s="871">
        <f t="shared" si="546"/>
        <v>-244.74499999999995</v>
      </c>
      <c r="U575" s="872">
        <f t="shared" si="546"/>
        <v>-749.43899999999985</v>
      </c>
      <c r="V575" s="871">
        <f t="shared" si="546"/>
        <v>-228.5900000000004</v>
      </c>
      <c r="W575" s="871">
        <f t="shared" si="546"/>
        <v>-226.29299999999927</v>
      </c>
      <c r="X575" s="871">
        <f t="shared" si="546"/>
        <v>-461.94100000000049</v>
      </c>
      <c r="Y575" s="871">
        <f t="shared" si="546"/>
        <v>-557.16000000000054</v>
      </c>
      <c r="Z575" s="872">
        <f t="shared" si="546"/>
        <v>-1473.9840000000011</v>
      </c>
      <c r="AA575" s="871">
        <f t="shared" si="546"/>
        <v>-343.85599999999988</v>
      </c>
      <c r="AB575" s="871">
        <f t="shared" si="546"/>
        <v>-534.5280000000007</v>
      </c>
      <c r="AC575" s="871">
        <f t="shared" si="546"/>
        <v>-419.60699999999974</v>
      </c>
      <c r="AD575" s="871">
        <f t="shared" si="546"/>
        <v>-487.95700000000062</v>
      </c>
      <c r="AE575" s="872">
        <f t="shared" si="546"/>
        <v>-1785.9480000000012</v>
      </c>
      <c r="AF575" s="871">
        <f t="shared" si="546"/>
        <v>-236.75699999999927</v>
      </c>
      <c r="AG575" s="871">
        <f t="shared" si="546"/>
        <v>-518.23900000000003</v>
      </c>
      <c r="AH575" s="871">
        <f t="shared" si="546"/>
        <v>-690.41099999999994</v>
      </c>
      <c r="AI575" s="871">
        <f t="shared" ref="AI575:AY575" si="547">SUM(AI568:AI574)</f>
        <v>-1235.0720000000003</v>
      </c>
      <c r="AJ575" s="872">
        <f t="shared" si="547"/>
        <v>-2680.4790000000007</v>
      </c>
      <c r="AK575" s="871">
        <f t="shared" si="547"/>
        <v>-379.79899999999969</v>
      </c>
      <c r="AL575" s="871">
        <f t="shared" si="547"/>
        <v>-543.7540000000007</v>
      </c>
      <c r="AM575" s="871">
        <f t="shared" si="547"/>
        <v>-501.79399999999896</v>
      </c>
      <c r="AN575" s="871">
        <f t="shared" si="547"/>
        <v>-1461.9750000000022</v>
      </c>
      <c r="AO575" s="872">
        <f t="shared" si="547"/>
        <v>-2887.3220000000028</v>
      </c>
      <c r="AP575" s="871">
        <f t="shared" si="547"/>
        <v>259.91200000000026</v>
      </c>
      <c r="AQ575" s="871">
        <f t="shared" si="547"/>
        <v>1041.076</v>
      </c>
      <c r="AR575" s="871">
        <f>SUM(AR568:AR574)</f>
        <v>1263.7610000000009</v>
      </c>
      <c r="AS575" s="871">
        <f>SUM(AS568:AS574)</f>
        <v>-137.67200000000065</v>
      </c>
      <c r="AT575" s="872">
        <f>SUM(AT568:AT574)</f>
        <v>2427.0769999999998</v>
      </c>
      <c r="AU575" s="871">
        <f t="shared" ref="AU575" si="548">SUM(AU568:AU574)</f>
        <v>777.26599999999974</v>
      </c>
      <c r="AV575" s="871">
        <f>SUM(AV568:AV574)</f>
        <v>-63.761000000000266</v>
      </c>
      <c r="AW575" s="873">
        <f>SUM(AW568:AW574)</f>
        <v>82.378999999999195</v>
      </c>
      <c r="AX575" s="870">
        <f t="shared" si="547"/>
        <v>491.43299030926852</v>
      </c>
      <c r="AY575" s="869">
        <f t="shared" si="547"/>
        <v>1287.3169903092664</v>
      </c>
      <c r="AZ575" s="870">
        <f t="shared" ref="AZ575:BG575" ca="1" si="549">SUM(AZ568:AZ574)</f>
        <v>1027.3547365263992</v>
      </c>
      <c r="BA575" s="870">
        <f t="shared" ca="1" si="549"/>
        <v>964.66443681739861</v>
      </c>
      <c r="BB575" s="870">
        <f t="shared" ca="1" si="549"/>
        <v>1556.1405073675303</v>
      </c>
      <c r="BC575" s="870">
        <f t="shared" ca="1" si="549"/>
        <v>1099.0943438696838</v>
      </c>
      <c r="BD575" s="869">
        <f t="shared" ca="1" si="549"/>
        <v>4647.2540245810123</v>
      </c>
      <c r="BE575" s="869">
        <f t="shared" ca="1" si="549"/>
        <v>7094.6742958968835</v>
      </c>
      <c r="BF575" s="869">
        <f t="shared" ca="1" si="549"/>
        <v>10138.857186648054</v>
      </c>
      <c r="BG575" s="869">
        <f t="shared" ca="1" si="549"/>
        <v>13542.476960272405</v>
      </c>
      <c r="BH575" s="824"/>
    </row>
    <row r="576" spans="1:60" customFormat="1" x14ac:dyDescent="0.25">
      <c r="A576" s="494"/>
      <c r="B576" s="423"/>
      <c r="C576" s="874"/>
      <c r="D576" s="874"/>
      <c r="E576" s="874"/>
      <c r="F576" s="874"/>
      <c r="G576" s="879"/>
      <c r="H576" s="879"/>
      <c r="I576" s="879"/>
      <c r="J576" s="879"/>
      <c r="K576" s="874"/>
      <c r="L576" s="879"/>
      <c r="M576" s="879"/>
      <c r="N576" s="879"/>
      <c r="O576" s="879"/>
      <c r="P576" s="874"/>
      <c r="Q576" s="879"/>
      <c r="R576" s="879"/>
      <c r="S576" s="879"/>
      <c r="T576" s="879"/>
      <c r="U576" s="874"/>
      <c r="V576" s="879"/>
      <c r="W576" s="879"/>
      <c r="X576" s="879"/>
      <c r="Y576" s="879"/>
      <c r="Z576" s="874"/>
      <c r="AA576" s="879"/>
      <c r="AB576" s="879"/>
      <c r="AC576" s="879"/>
      <c r="AD576" s="879"/>
      <c r="AE576" s="874"/>
      <c r="AF576" s="879"/>
      <c r="AG576" s="879"/>
      <c r="AH576" s="879"/>
      <c r="AI576" s="879"/>
      <c r="AJ576" s="874"/>
      <c r="AK576" s="879"/>
      <c r="AL576" s="879"/>
      <c r="AM576" s="879"/>
      <c r="AN576" s="879"/>
      <c r="AO576" s="874"/>
      <c r="AP576" s="879"/>
      <c r="AQ576" s="879"/>
      <c r="AR576" s="879"/>
      <c r="AS576" s="879"/>
      <c r="AT576" s="874"/>
      <c r="AU576" s="879"/>
      <c r="AV576" s="879"/>
      <c r="AW576" s="880"/>
      <c r="AX576" s="879"/>
      <c r="AY576" s="874"/>
      <c r="AZ576" s="879"/>
      <c r="BA576" s="879"/>
      <c r="BB576" s="879"/>
      <c r="BC576" s="879"/>
      <c r="BD576" s="874"/>
      <c r="BE576" s="874"/>
      <c r="BF576" s="874"/>
      <c r="BG576" s="874"/>
      <c r="BH576" s="824"/>
    </row>
    <row r="577" spans="1:60" customFormat="1" x14ac:dyDescent="0.25">
      <c r="A577" s="63" t="str">
        <f t="shared" ref="A577:A588" si="550">A517</f>
        <v>CFI</v>
      </c>
      <c r="B577" s="423"/>
      <c r="C577" s="874"/>
      <c r="D577" s="874"/>
      <c r="E577" s="874"/>
      <c r="F577" s="874"/>
      <c r="G577" s="879"/>
      <c r="H577" s="879"/>
      <c r="I577" s="879"/>
      <c r="J577" s="879"/>
      <c r="K577" s="874"/>
      <c r="L577" s="879"/>
      <c r="M577" s="879"/>
      <c r="N577" s="879"/>
      <c r="O577" s="879"/>
      <c r="P577" s="874"/>
      <c r="Q577" s="879"/>
      <c r="R577" s="879"/>
      <c r="S577" s="879"/>
      <c r="T577" s="879"/>
      <c r="U577" s="874"/>
      <c r="V577" s="879"/>
      <c r="W577" s="879"/>
      <c r="X577" s="879"/>
      <c r="Y577" s="879"/>
      <c r="Z577" s="874"/>
      <c r="AA577" s="879"/>
      <c r="AB577" s="879"/>
      <c r="AC577" s="879"/>
      <c r="AD577" s="879"/>
      <c r="AE577" s="874"/>
      <c r="AF577" s="879"/>
      <c r="AG577" s="879"/>
      <c r="AH577" s="879"/>
      <c r="AI577" s="879"/>
      <c r="AJ577" s="874"/>
      <c r="AK577" s="879"/>
      <c r="AL577" s="879"/>
      <c r="AM577" s="879"/>
      <c r="AN577" s="879"/>
      <c r="AO577" s="874"/>
      <c r="AP577" s="879"/>
      <c r="AQ577" s="879"/>
      <c r="AR577" s="879"/>
      <c r="AS577" s="879"/>
      <c r="AT577" s="874"/>
      <c r="AU577" s="879"/>
      <c r="AV577" s="879"/>
      <c r="AW577" s="880"/>
      <c r="AX577" s="879"/>
      <c r="AY577" s="874"/>
      <c r="AZ577" s="879"/>
      <c r="BA577" s="879"/>
      <c r="BB577" s="879"/>
      <c r="BC577" s="879"/>
      <c r="BD577" s="874"/>
      <c r="BE577" s="874"/>
      <c r="BF577" s="874"/>
      <c r="BG577" s="874"/>
      <c r="BH577" s="824"/>
    </row>
    <row r="578" spans="1:60" customFormat="1" x14ac:dyDescent="0.25">
      <c r="A578" s="367" t="str">
        <f t="shared" si="550"/>
        <v>Acquisition of DVD content library</v>
      </c>
      <c r="B578" s="822"/>
      <c r="C578" s="865">
        <f t="shared" ref="C578:G587" si="551">C518</f>
        <v>-193.04400000000001</v>
      </c>
      <c r="D578" s="865">
        <f t="shared" si="551"/>
        <v>-123.901</v>
      </c>
      <c r="E578" s="865">
        <f t="shared" si="551"/>
        <v>-85.153999999999996</v>
      </c>
      <c r="F578" s="865">
        <f t="shared" si="551"/>
        <v>-48.274999999999999</v>
      </c>
      <c r="G578" s="866">
        <f t="shared" si="551"/>
        <v>-21.193000000000001</v>
      </c>
      <c r="H578" s="866">
        <f t="shared" ref="H578:J587" si="552">H518-G518</f>
        <v>-14.023</v>
      </c>
      <c r="I578" s="866">
        <f t="shared" si="552"/>
        <v>-15.470999999999997</v>
      </c>
      <c r="J578" s="866">
        <f t="shared" si="552"/>
        <v>-15.240000000000009</v>
      </c>
      <c r="K578" s="865">
        <f t="shared" ref="K578:L587" si="553">K518</f>
        <v>-65.927000000000007</v>
      </c>
      <c r="L578" s="866">
        <f t="shared" si="553"/>
        <v>-14.914</v>
      </c>
      <c r="M578" s="866">
        <f t="shared" ref="M578:O587" si="554">M518-L518</f>
        <v>-20.981000000000002</v>
      </c>
      <c r="N578" s="866">
        <f t="shared" si="554"/>
        <v>-15.529999999999994</v>
      </c>
      <c r="O578" s="866">
        <f t="shared" si="554"/>
        <v>-23.365000000000009</v>
      </c>
      <c r="P578" s="865">
        <f t="shared" ref="P578:Q587" si="555">P518</f>
        <v>-74.790000000000006</v>
      </c>
      <c r="Q578" s="866">
        <f t="shared" si="555"/>
        <v>-22.905999999999999</v>
      </c>
      <c r="R578" s="866">
        <f t="shared" ref="R578:T587" si="556">R518-Q518</f>
        <v>-19.786000000000001</v>
      </c>
      <c r="S578" s="866">
        <f t="shared" si="556"/>
        <v>-14.466999999999999</v>
      </c>
      <c r="T578" s="866">
        <f t="shared" si="556"/>
        <v>-20.798999999999999</v>
      </c>
      <c r="U578" s="865">
        <f t="shared" ref="U578:V587" si="557">U518</f>
        <v>-77.957999999999998</v>
      </c>
      <c r="V578" s="866">
        <f t="shared" si="557"/>
        <v>-23.207000000000001</v>
      </c>
      <c r="W578" s="866">
        <f t="shared" ref="W578:Y587" si="558">W518-V518</f>
        <v>-17.923999999999999</v>
      </c>
      <c r="X578" s="866">
        <f t="shared" si="558"/>
        <v>-17.249000000000002</v>
      </c>
      <c r="Y578" s="866">
        <f t="shared" si="558"/>
        <v>-18.797000000000004</v>
      </c>
      <c r="Z578" s="865">
        <f t="shared" ref="Z578:AA587" si="559">Z518</f>
        <v>-77.177000000000007</v>
      </c>
      <c r="AA578" s="866">
        <f t="shared" si="559"/>
        <v>-25.372</v>
      </c>
      <c r="AB578" s="866">
        <f t="shared" ref="AB578:AD587" si="560">AB518-AA518</f>
        <v>-7.6240000000000023</v>
      </c>
      <c r="AC578" s="866">
        <f t="shared" si="560"/>
        <v>-10.216999999999999</v>
      </c>
      <c r="AD578" s="866">
        <f t="shared" si="560"/>
        <v>-10.506999999999998</v>
      </c>
      <c r="AE578" s="865">
        <f t="shared" ref="AE578:AF587" si="561">AE518</f>
        <v>-53.72</v>
      </c>
      <c r="AF578" s="866">
        <f t="shared" si="561"/>
        <v>-10.795999999999999</v>
      </c>
      <c r="AG578" s="866">
        <f t="shared" ref="AG578:AI587" si="562">AG518-AF518</f>
        <v>-12.552</v>
      </c>
      <c r="AH578" s="866">
        <f t="shared" si="562"/>
        <v>-7.7310000000000016</v>
      </c>
      <c r="AI578" s="866">
        <f t="shared" si="562"/>
        <v>-7.5069999999999979</v>
      </c>
      <c r="AJ578" s="865">
        <f t="shared" ref="AJ578:AK587" si="563">AJ518</f>
        <v>-38.585999999999999</v>
      </c>
      <c r="AK578" s="866">
        <f t="shared" si="563"/>
        <v>-9.17</v>
      </c>
      <c r="AL578" s="866">
        <f t="shared" ref="AL578:AN587" si="564">AL518-AK518</f>
        <v>-7.798</v>
      </c>
      <c r="AM578" s="866">
        <f t="shared" si="564"/>
        <v>-4.6340000000000003</v>
      </c>
      <c r="AN578" s="866">
        <f t="shared" si="564"/>
        <v>21.602</v>
      </c>
      <c r="AO578" s="865">
        <f t="shared" ref="AO578:AP587" si="565">AO518</f>
        <v>0</v>
      </c>
      <c r="AP578" s="866">
        <f t="shared" si="565"/>
        <v>0</v>
      </c>
      <c r="AQ578" s="866">
        <f t="shared" ref="AQ578:AQ587" si="566">AQ518-AP518</f>
        <v>0</v>
      </c>
      <c r="AR578" s="866">
        <f t="shared" ref="AR578:AR587" si="567">AR518-AQ518</f>
        <v>0</v>
      </c>
      <c r="AS578" s="866">
        <f t="shared" ref="AS578:AS587" si="568">AS518-AR518</f>
        <v>0</v>
      </c>
      <c r="AT578" s="865">
        <f t="shared" ref="AT578:AU587" si="569">AT518</f>
        <v>0</v>
      </c>
      <c r="AU578" s="866">
        <f t="shared" si="569"/>
        <v>0</v>
      </c>
      <c r="AV578" s="866">
        <f t="shared" ref="AV578:AV587" si="570">AV518-AU518</f>
        <v>0</v>
      </c>
      <c r="AW578" s="878">
        <f t="shared" ref="AW578:AW587" si="571">AW518-AV518</f>
        <v>0</v>
      </c>
      <c r="AX578" s="867"/>
      <c r="AY578" s="864">
        <f t="shared" ref="AY578:AY587" si="572">SUM(AU578,AV578,AW578,AX578)</f>
        <v>0</v>
      </c>
      <c r="AZ578" s="867"/>
      <c r="BA578" s="867"/>
      <c r="BB578" s="867"/>
      <c r="BC578" s="867"/>
      <c r="BD578" s="864">
        <f t="shared" ref="BD578:BD587" si="573">SUM(AZ578,BA578,BB578,BC578)</f>
        <v>0</v>
      </c>
      <c r="BE578" s="864"/>
      <c r="BF578" s="864"/>
      <c r="BG578" s="864"/>
      <c r="BH578" s="821"/>
    </row>
    <row r="579" spans="1:60" customFormat="1" x14ac:dyDescent="0.25">
      <c r="A579" s="178" t="str">
        <f t="shared" si="550"/>
        <v>Purchases of property and equipment</v>
      </c>
      <c r="B579" s="822"/>
      <c r="C579" s="864">
        <f t="shared" si="551"/>
        <v>-45.932000000000002</v>
      </c>
      <c r="D579" s="864">
        <f t="shared" si="551"/>
        <v>-33.837000000000003</v>
      </c>
      <c r="E579" s="864">
        <f t="shared" si="551"/>
        <v>-49.682000000000002</v>
      </c>
      <c r="F579" s="864">
        <f t="shared" si="551"/>
        <v>-40.277999999999999</v>
      </c>
      <c r="G579" s="867">
        <f t="shared" si="551"/>
        <v>-12.118</v>
      </c>
      <c r="H579" s="867">
        <f t="shared" si="552"/>
        <v>-8.0879999999999992</v>
      </c>
      <c r="I579" s="867">
        <f t="shared" si="552"/>
        <v>-10.827999999999999</v>
      </c>
      <c r="J579" s="867">
        <f t="shared" si="552"/>
        <v>-23.109000000000002</v>
      </c>
      <c r="K579" s="864">
        <f t="shared" si="553"/>
        <v>-54.143000000000001</v>
      </c>
      <c r="L579" s="867">
        <f t="shared" si="553"/>
        <v>-13.334</v>
      </c>
      <c r="M579" s="867">
        <f t="shared" si="554"/>
        <v>-19.869000000000003</v>
      </c>
      <c r="N579" s="867">
        <f t="shared" si="554"/>
        <v>-21.031999999999996</v>
      </c>
      <c r="O579" s="867">
        <f t="shared" si="554"/>
        <v>-15.491</v>
      </c>
      <c r="P579" s="864">
        <f t="shared" si="555"/>
        <v>-69.725999999999999</v>
      </c>
      <c r="Q579" s="867">
        <f t="shared" si="555"/>
        <v>-13.036</v>
      </c>
      <c r="R579" s="867">
        <f t="shared" si="556"/>
        <v>-27.537999999999997</v>
      </c>
      <c r="S579" s="867">
        <f t="shared" si="556"/>
        <v>-37.820000000000007</v>
      </c>
      <c r="T579" s="867">
        <f t="shared" si="556"/>
        <v>-12.853999999999999</v>
      </c>
      <c r="U579" s="864">
        <f t="shared" si="557"/>
        <v>-91.248000000000005</v>
      </c>
      <c r="V579" s="867">
        <f t="shared" si="557"/>
        <v>-8.4250000000000007</v>
      </c>
      <c r="W579" s="867">
        <f t="shared" si="558"/>
        <v>-10.814</v>
      </c>
      <c r="X579" s="867">
        <f t="shared" si="558"/>
        <v>-27.365999999999996</v>
      </c>
      <c r="Y579" s="867">
        <f t="shared" si="558"/>
        <v>-61.048000000000009</v>
      </c>
      <c r="Z579" s="864">
        <f t="shared" si="559"/>
        <v>-107.65300000000001</v>
      </c>
      <c r="AA579" s="867">
        <f t="shared" si="559"/>
        <v>-52.523000000000003</v>
      </c>
      <c r="AB579" s="867">
        <f t="shared" si="560"/>
        <v>-65.230999999999995</v>
      </c>
      <c r="AC579" s="867">
        <f t="shared" si="560"/>
        <v>-33.963000000000008</v>
      </c>
      <c r="AD579" s="867">
        <f t="shared" si="560"/>
        <v>-21.58499999999998</v>
      </c>
      <c r="AE579" s="864">
        <f t="shared" si="561"/>
        <v>-173.30199999999999</v>
      </c>
      <c r="AF579" s="867">
        <f t="shared" si="561"/>
        <v>-37.17</v>
      </c>
      <c r="AG579" s="867">
        <f t="shared" si="562"/>
        <v>-27.322999999999993</v>
      </c>
      <c r="AH579" s="867">
        <f t="shared" si="562"/>
        <v>-39.332999999999998</v>
      </c>
      <c r="AI579" s="867">
        <f t="shared" si="562"/>
        <v>-70.12</v>
      </c>
      <c r="AJ579" s="864">
        <f t="shared" si="563"/>
        <v>-173.946</v>
      </c>
      <c r="AK579" s="867">
        <f t="shared" si="563"/>
        <v>-60.381</v>
      </c>
      <c r="AL579" s="867">
        <f t="shared" si="564"/>
        <v>-39.584000000000003</v>
      </c>
      <c r="AM579" s="867">
        <f t="shared" si="564"/>
        <v>-45.332999999999998</v>
      </c>
      <c r="AN579" s="867">
        <f t="shared" si="564"/>
        <v>-107.73699999999999</v>
      </c>
      <c r="AO579" s="864">
        <f t="shared" si="565"/>
        <v>-253.035</v>
      </c>
      <c r="AP579" s="867">
        <f t="shared" si="565"/>
        <v>-98.015000000000001</v>
      </c>
      <c r="AQ579" s="867">
        <f t="shared" si="566"/>
        <v>-141.74099999999999</v>
      </c>
      <c r="AR579" s="867">
        <f t="shared" si="567"/>
        <v>-109.81100000000001</v>
      </c>
      <c r="AS579" s="867">
        <f t="shared" si="568"/>
        <v>-148.35599999999999</v>
      </c>
      <c r="AT579" s="864">
        <f t="shared" si="569"/>
        <v>-497.923</v>
      </c>
      <c r="AU579" s="867">
        <f t="shared" si="569"/>
        <v>-81.001000000000005</v>
      </c>
      <c r="AV579" s="867">
        <f t="shared" si="570"/>
        <v>-110.27799999999999</v>
      </c>
      <c r="AW579" s="868">
        <f t="shared" si="571"/>
        <v>-167.327</v>
      </c>
      <c r="AX579" s="867">
        <f>AX433</f>
        <v>-100</v>
      </c>
      <c r="AY579" s="864">
        <f t="shared" si="572"/>
        <v>-458.60599999999999</v>
      </c>
      <c r="AZ579" s="867">
        <f>AZ433</f>
        <v>-100</v>
      </c>
      <c r="BA579" s="867">
        <f>BA433</f>
        <v>-100</v>
      </c>
      <c r="BB579" s="867">
        <f>BB433</f>
        <v>-100</v>
      </c>
      <c r="BC579" s="867">
        <f>BC433</f>
        <v>-100</v>
      </c>
      <c r="BD579" s="864">
        <f t="shared" si="573"/>
        <v>-400</v>
      </c>
      <c r="BE579" s="864">
        <f>BE433</f>
        <v>-400</v>
      </c>
      <c r="BF579" s="864">
        <f>BF433</f>
        <v>-400</v>
      </c>
      <c r="BG579" s="864">
        <f>BG433</f>
        <v>-400</v>
      </c>
      <c r="BH579" s="821"/>
    </row>
    <row r="580" spans="1:60" customFormat="1" x14ac:dyDescent="0.25">
      <c r="A580" s="367" t="str">
        <f t="shared" si="550"/>
        <v>Proceeds from sale of DVDs</v>
      </c>
      <c r="B580" s="822"/>
      <c r="C580" s="865">
        <f t="shared" si="551"/>
        <v>11.164</v>
      </c>
      <c r="D580" s="865">
        <f t="shared" si="551"/>
        <v>0</v>
      </c>
      <c r="E580" s="865">
        <f t="shared" si="551"/>
        <v>0</v>
      </c>
      <c r="F580" s="865">
        <f t="shared" si="551"/>
        <v>0</v>
      </c>
      <c r="G580" s="866">
        <f t="shared" si="551"/>
        <v>0</v>
      </c>
      <c r="H580" s="866">
        <f t="shared" si="552"/>
        <v>0</v>
      </c>
      <c r="I580" s="866">
        <f t="shared" si="552"/>
        <v>0</v>
      </c>
      <c r="J580" s="866">
        <f t="shared" si="552"/>
        <v>0</v>
      </c>
      <c r="K580" s="865">
        <f t="shared" si="553"/>
        <v>0</v>
      </c>
      <c r="L580" s="866">
        <f t="shared" si="553"/>
        <v>0</v>
      </c>
      <c r="M580" s="866">
        <f t="shared" si="554"/>
        <v>0</v>
      </c>
      <c r="N580" s="866">
        <f t="shared" si="554"/>
        <v>0</v>
      </c>
      <c r="O580" s="866">
        <f t="shared" si="554"/>
        <v>0</v>
      </c>
      <c r="P580" s="865">
        <f t="shared" si="555"/>
        <v>0</v>
      </c>
      <c r="Q580" s="866">
        <f t="shared" si="555"/>
        <v>0</v>
      </c>
      <c r="R580" s="866">
        <f t="shared" si="556"/>
        <v>0</v>
      </c>
      <c r="S580" s="866">
        <f t="shared" si="556"/>
        <v>0</v>
      </c>
      <c r="T580" s="866">
        <f t="shared" si="556"/>
        <v>0</v>
      </c>
      <c r="U580" s="865">
        <f t="shared" si="557"/>
        <v>0</v>
      </c>
      <c r="V580" s="866">
        <f t="shared" si="557"/>
        <v>0</v>
      </c>
      <c r="W580" s="866">
        <f t="shared" si="558"/>
        <v>0</v>
      </c>
      <c r="X580" s="866">
        <f t="shared" si="558"/>
        <v>0</v>
      </c>
      <c r="Y580" s="866">
        <f t="shared" si="558"/>
        <v>0</v>
      </c>
      <c r="Z580" s="865">
        <f t="shared" si="559"/>
        <v>0</v>
      </c>
      <c r="AA580" s="866">
        <f t="shared" si="559"/>
        <v>0</v>
      </c>
      <c r="AB580" s="866">
        <f t="shared" si="560"/>
        <v>0</v>
      </c>
      <c r="AC580" s="866">
        <f t="shared" si="560"/>
        <v>0</v>
      </c>
      <c r="AD580" s="866">
        <f t="shared" si="560"/>
        <v>0</v>
      </c>
      <c r="AE580" s="865">
        <f t="shared" si="561"/>
        <v>0</v>
      </c>
      <c r="AF580" s="866">
        <f t="shared" si="561"/>
        <v>0</v>
      </c>
      <c r="AG580" s="866">
        <f t="shared" si="562"/>
        <v>0</v>
      </c>
      <c r="AH580" s="866">
        <f t="shared" si="562"/>
        <v>0</v>
      </c>
      <c r="AI580" s="866">
        <f t="shared" si="562"/>
        <v>0</v>
      </c>
      <c r="AJ580" s="865">
        <f t="shared" si="563"/>
        <v>0</v>
      </c>
      <c r="AK580" s="866">
        <f t="shared" si="563"/>
        <v>0</v>
      </c>
      <c r="AL580" s="866">
        <f t="shared" si="564"/>
        <v>0</v>
      </c>
      <c r="AM580" s="866">
        <f t="shared" si="564"/>
        <v>0</v>
      </c>
      <c r="AN580" s="866">
        <f t="shared" si="564"/>
        <v>0</v>
      </c>
      <c r="AO580" s="865">
        <f t="shared" si="565"/>
        <v>0</v>
      </c>
      <c r="AP580" s="866">
        <f t="shared" si="565"/>
        <v>0</v>
      </c>
      <c r="AQ580" s="866">
        <f t="shared" si="566"/>
        <v>0</v>
      </c>
      <c r="AR580" s="866">
        <f t="shared" si="567"/>
        <v>0</v>
      </c>
      <c r="AS580" s="866">
        <f t="shared" si="568"/>
        <v>0</v>
      </c>
      <c r="AT580" s="865">
        <f t="shared" si="569"/>
        <v>0</v>
      </c>
      <c r="AU580" s="866">
        <f t="shared" si="569"/>
        <v>0</v>
      </c>
      <c r="AV580" s="866">
        <f t="shared" si="570"/>
        <v>0</v>
      </c>
      <c r="AW580" s="878">
        <f t="shared" si="571"/>
        <v>0</v>
      </c>
      <c r="AX580" s="867"/>
      <c r="AY580" s="864">
        <f t="shared" si="572"/>
        <v>0</v>
      </c>
      <c r="AZ580" s="867"/>
      <c r="BA580" s="867"/>
      <c r="BB580" s="867"/>
      <c r="BC580" s="867"/>
      <c r="BD580" s="864">
        <f t="shared" si="573"/>
        <v>0</v>
      </c>
      <c r="BE580" s="864"/>
      <c r="BF580" s="864"/>
      <c r="BG580" s="864"/>
      <c r="BH580" s="821"/>
    </row>
    <row r="581" spans="1:60" customFormat="1" x14ac:dyDescent="0.25">
      <c r="A581" s="367" t="str">
        <f t="shared" si="550"/>
        <v>Acquisitions of intangible assets</v>
      </c>
      <c r="B581" s="822"/>
      <c r="C581" s="865">
        <f t="shared" si="551"/>
        <v>-0.2</v>
      </c>
      <c r="D581" s="865">
        <f t="shared" si="551"/>
        <v>0</v>
      </c>
      <c r="E581" s="865">
        <f t="shared" si="551"/>
        <v>0</v>
      </c>
      <c r="F581" s="865">
        <f t="shared" si="551"/>
        <v>0</v>
      </c>
      <c r="G581" s="866">
        <f t="shared" si="551"/>
        <v>0</v>
      </c>
      <c r="H581" s="866">
        <f t="shared" si="552"/>
        <v>0</v>
      </c>
      <c r="I581" s="866">
        <f t="shared" si="552"/>
        <v>0</v>
      </c>
      <c r="J581" s="866">
        <f t="shared" si="552"/>
        <v>0</v>
      </c>
      <c r="K581" s="865">
        <f t="shared" si="553"/>
        <v>0</v>
      </c>
      <c r="L581" s="866">
        <f t="shared" si="553"/>
        <v>0</v>
      </c>
      <c r="M581" s="866">
        <f t="shared" si="554"/>
        <v>0</v>
      </c>
      <c r="N581" s="866">
        <f t="shared" si="554"/>
        <v>0</v>
      </c>
      <c r="O581" s="866">
        <f t="shared" si="554"/>
        <v>0</v>
      </c>
      <c r="P581" s="865">
        <f t="shared" si="555"/>
        <v>0</v>
      </c>
      <c r="Q581" s="866">
        <f t="shared" si="555"/>
        <v>0</v>
      </c>
      <c r="R581" s="866">
        <f t="shared" si="556"/>
        <v>0</v>
      </c>
      <c r="S581" s="866">
        <f t="shared" si="556"/>
        <v>0</v>
      </c>
      <c r="T581" s="866">
        <f t="shared" si="556"/>
        <v>0</v>
      </c>
      <c r="U581" s="865">
        <f t="shared" si="557"/>
        <v>0</v>
      </c>
      <c r="V581" s="866">
        <f t="shared" si="557"/>
        <v>0</v>
      </c>
      <c r="W581" s="866">
        <f t="shared" si="558"/>
        <v>0</v>
      </c>
      <c r="X581" s="866">
        <f t="shared" si="558"/>
        <v>0</v>
      </c>
      <c r="Y581" s="866">
        <f t="shared" si="558"/>
        <v>0</v>
      </c>
      <c r="Z581" s="865">
        <f t="shared" si="559"/>
        <v>0</v>
      </c>
      <c r="AA581" s="866">
        <f t="shared" si="559"/>
        <v>0</v>
      </c>
      <c r="AB581" s="866">
        <f t="shared" si="560"/>
        <v>0</v>
      </c>
      <c r="AC581" s="866">
        <f t="shared" si="560"/>
        <v>0</v>
      </c>
      <c r="AD581" s="866">
        <f t="shared" si="560"/>
        <v>0</v>
      </c>
      <c r="AE581" s="865">
        <f t="shared" si="561"/>
        <v>0</v>
      </c>
      <c r="AF581" s="866">
        <f t="shared" si="561"/>
        <v>0</v>
      </c>
      <c r="AG581" s="866">
        <f t="shared" si="562"/>
        <v>0</v>
      </c>
      <c r="AH581" s="866">
        <f t="shared" si="562"/>
        <v>0</v>
      </c>
      <c r="AI581" s="866">
        <f t="shared" si="562"/>
        <v>0</v>
      </c>
      <c r="AJ581" s="865">
        <f t="shared" si="563"/>
        <v>0</v>
      </c>
      <c r="AK581" s="866">
        <f t="shared" si="563"/>
        <v>0</v>
      </c>
      <c r="AL581" s="866">
        <f t="shared" si="564"/>
        <v>0</v>
      </c>
      <c r="AM581" s="866">
        <f t="shared" si="564"/>
        <v>0</v>
      </c>
      <c r="AN581" s="866">
        <f t="shared" si="564"/>
        <v>0</v>
      </c>
      <c r="AO581" s="865">
        <f t="shared" si="565"/>
        <v>0</v>
      </c>
      <c r="AP581" s="866">
        <f t="shared" si="565"/>
        <v>0</v>
      </c>
      <c r="AQ581" s="866">
        <f t="shared" si="566"/>
        <v>0</v>
      </c>
      <c r="AR581" s="866">
        <f t="shared" si="567"/>
        <v>0</v>
      </c>
      <c r="AS581" s="866">
        <f t="shared" si="568"/>
        <v>0</v>
      </c>
      <c r="AT581" s="865">
        <f t="shared" si="569"/>
        <v>0</v>
      </c>
      <c r="AU581" s="866">
        <f t="shared" si="569"/>
        <v>0</v>
      </c>
      <c r="AV581" s="866">
        <f t="shared" si="570"/>
        <v>0</v>
      </c>
      <c r="AW581" s="878">
        <f t="shared" si="571"/>
        <v>0</v>
      </c>
      <c r="AX581" s="867"/>
      <c r="AY581" s="864">
        <f t="shared" si="572"/>
        <v>0</v>
      </c>
      <c r="AZ581" s="867"/>
      <c r="BA581" s="867"/>
      <c r="BB581" s="867"/>
      <c r="BC581" s="867"/>
      <c r="BD581" s="864">
        <f t="shared" si="573"/>
        <v>0</v>
      </c>
      <c r="BE581" s="864"/>
      <c r="BF581" s="864"/>
      <c r="BG581" s="864"/>
      <c r="BH581" s="821"/>
    </row>
    <row r="582" spans="1:60" customFormat="1" x14ac:dyDescent="0.25">
      <c r="A582" s="367" t="str">
        <f t="shared" si="550"/>
        <v>Proceeds from sale of business</v>
      </c>
      <c r="B582" s="822"/>
      <c r="C582" s="865">
        <f t="shared" si="551"/>
        <v>7.4829999999999997</v>
      </c>
      <c r="D582" s="865">
        <f t="shared" si="551"/>
        <v>0</v>
      </c>
      <c r="E582" s="865">
        <f t="shared" si="551"/>
        <v>0</v>
      </c>
      <c r="F582" s="865">
        <f t="shared" si="551"/>
        <v>0</v>
      </c>
      <c r="G582" s="866">
        <f t="shared" si="551"/>
        <v>0</v>
      </c>
      <c r="H582" s="866">
        <f t="shared" si="552"/>
        <v>0</v>
      </c>
      <c r="I582" s="866">
        <f t="shared" si="552"/>
        <v>0</v>
      </c>
      <c r="J582" s="866">
        <f t="shared" si="552"/>
        <v>0</v>
      </c>
      <c r="K582" s="865">
        <f t="shared" si="553"/>
        <v>0</v>
      </c>
      <c r="L582" s="866">
        <f t="shared" si="553"/>
        <v>0</v>
      </c>
      <c r="M582" s="866">
        <f t="shared" si="554"/>
        <v>0</v>
      </c>
      <c r="N582" s="866">
        <f t="shared" si="554"/>
        <v>0</v>
      </c>
      <c r="O582" s="866">
        <f t="shared" si="554"/>
        <v>0</v>
      </c>
      <c r="P582" s="865">
        <f t="shared" si="555"/>
        <v>0</v>
      </c>
      <c r="Q582" s="866">
        <f t="shared" si="555"/>
        <v>0</v>
      </c>
      <c r="R582" s="866">
        <f t="shared" si="556"/>
        <v>0</v>
      </c>
      <c r="S582" s="866">
        <f t="shared" si="556"/>
        <v>0</v>
      </c>
      <c r="T582" s="866">
        <f t="shared" si="556"/>
        <v>0</v>
      </c>
      <c r="U582" s="865">
        <f t="shared" si="557"/>
        <v>0</v>
      </c>
      <c r="V582" s="866">
        <f t="shared" si="557"/>
        <v>0</v>
      </c>
      <c r="W582" s="866">
        <f t="shared" si="558"/>
        <v>0</v>
      </c>
      <c r="X582" s="866">
        <f t="shared" si="558"/>
        <v>0</v>
      </c>
      <c r="Y582" s="866">
        <f t="shared" si="558"/>
        <v>0</v>
      </c>
      <c r="Z582" s="865">
        <f t="shared" si="559"/>
        <v>0</v>
      </c>
      <c r="AA582" s="866">
        <f t="shared" si="559"/>
        <v>0</v>
      </c>
      <c r="AB582" s="866">
        <f t="shared" si="560"/>
        <v>0</v>
      </c>
      <c r="AC582" s="866">
        <f t="shared" si="560"/>
        <v>0</v>
      </c>
      <c r="AD582" s="866">
        <f t="shared" si="560"/>
        <v>0</v>
      </c>
      <c r="AE582" s="865">
        <f t="shared" si="561"/>
        <v>0</v>
      </c>
      <c r="AF582" s="866">
        <f t="shared" si="561"/>
        <v>0</v>
      </c>
      <c r="AG582" s="866">
        <f t="shared" si="562"/>
        <v>0</v>
      </c>
      <c r="AH582" s="866">
        <f t="shared" si="562"/>
        <v>0</v>
      </c>
      <c r="AI582" s="866">
        <f t="shared" si="562"/>
        <v>0</v>
      </c>
      <c r="AJ582" s="865">
        <f t="shared" si="563"/>
        <v>0</v>
      </c>
      <c r="AK582" s="866">
        <f t="shared" si="563"/>
        <v>0</v>
      </c>
      <c r="AL582" s="866">
        <f t="shared" si="564"/>
        <v>0</v>
      </c>
      <c r="AM582" s="866">
        <f t="shared" si="564"/>
        <v>0</v>
      </c>
      <c r="AN582" s="866">
        <f t="shared" si="564"/>
        <v>0</v>
      </c>
      <c r="AO582" s="865">
        <f t="shared" si="565"/>
        <v>0</v>
      </c>
      <c r="AP582" s="866">
        <f t="shared" si="565"/>
        <v>0</v>
      </c>
      <c r="AQ582" s="866">
        <f t="shared" si="566"/>
        <v>0</v>
      </c>
      <c r="AR582" s="866">
        <f t="shared" si="567"/>
        <v>0</v>
      </c>
      <c r="AS582" s="866">
        <f t="shared" si="568"/>
        <v>0</v>
      </c>
      <c r="AT582" s="865">
        <f t="shared" si="569"/>
        <v>0</v>
      </c>
      <c r="AU582" s="866">
        <f t="shared" si="569"/>
        <v>0</v>
      </c>
      <c r="AV582" s="866">
        <f t="shared" si="570"/>
        <v>0</v>
      </c>
      <c r="AW582" s="878">
        <f t="shared" si="571"/>
        <v>0</v>
      </c>
      <c r="AX582" s="867">
        <f>AX436</f>
        <v>0</v>
      </c>
      <c r="AY582" s="864">
        <f t="shared" si="572"/>
        <v>0</v>
      </c>
      <c r="AZ582" s="867">
        <f>AZ436</f>
        <v>0</v>
      </c>
      <c r="BA582" s="867">
        <f>BA436</f>
        <v>0</v>
      </c>
      <c r="BB582" s="867">
        <f>BB436</f>
        <v>0</v>
      </c>
      <c r="BC582" s="867">
        <f>BC436</f>
        <v>0</v>
      </c>
      <c r="BD582" s="864">
        <f t="shared" si="573"/>
        <v>0</v>
      </c>
      <c r="BE582" s="864">
        <f>BE436</f>
        <v>0</v>
      </c>
      <c r="BF582" s="864">
        <f>BF436</f>
        <v>0</v>
      </c>
      <c r="BG582" s="864">
        <f>BG436</f>
        <v>0</v>
      </c>
      <c r="BH582" s="821"/>
    </row>
    <row r="583" spans="1:60" customFormat="1" x14ac:dyDescent="0.25">
      <c r="A583" s="367" t="str">
        <f t="shared" si="550"/>
        <v>Other assets</v>
      </c>
      <c r="B583" s="822"/>
      <c r="C583" s="865">
        <f t="shared" si="551"/>
        <v>7.0999999999999994E-2</v>
      </c>
      <c r="D583" s="865">
        <f t="shared" si="551"/>
        <v>12.343999999999999</v>
      </c>
      <c r="E583" s="865">
        <f t="shared" si="551"/>
        <v>3.6739999999999999</v>
      </c>
      <c r="F583" s="865">
        <f t="shared" si="551"/>
        <v>8.8160000000000007</v>
      </c>
      <c r="G583" s="866">
        <f t="shared" si="551"/>
        <v>4.05</v>
      </c>
      <c r="H583" s="866">
        <f t="shared" si="552"/>
        <v>1.0869999999999997</v>
      </c>
      <c r="I583" s="866">
        <f t="shared" si="552"/>
        <v>-1.3289999999999997</v>
      </c>
      <c r="J583" s="866">
        <f t="shared" si="552"/>
        <v>2.1310000000000002</v>
      </c>
      <c r="K583" s="865">
        <f t="shared" si="553"/>
        <v>5.9390000000000001</v>
      </c>
      <c r="L583" s="866">
        <f t="shared" si="553"/>
        <v>0.29499999999999998</v>
      </c>
      <c r="M583" s="866">
        <f t="shared" si="554"/>
        <v>1.129</v>
      </c>
      <c r="N583" s="866">
        <f t="shared" si="554"/>
        <v>0.34099999999999997</v>
      </c>
      <c r="O583" s="866">
        <f t="shared" si="554"/>
        <v>-0.43099999999999983</v>
      </c>
      <c r="P583" s="865">
        <f t="shared" si="555"/>
        <v>1.3340000000000001</v>
      </c>
      <c r="Q583" s="866">
        <f t="shared" si="555"/>
        <v>0.22500000000000001</v>
      </c>
      <c r="R583" s="866">
        <f t="shared" si="556"/>
        <v>-0.63900000000000001</v>
      </c>
      <c r="S583" s="866">
        <f t="shared" si="556"/>
        <v>-3.7600000000000002</v>
      </c>
      <c r="T583" s="866">
        <f t="shared" si="556"/>
        <v>2.2620000000000005</v>
      </c>
      <c r="U583" s="865">
        <f t="shared" si="557"/>
        <v>-1.9119999999999999</v>
      </c>
      <c r="V583" s="866">
        <f t="shared" si="557"/>
        <v>-0.35599999999999998</v>
      </c>
      <c r="W583" s="866">
        <f t="shared" si="558"/>
        <v>0.90700000000000003</v>
      </c>
      <c r="X583" s="866">
        <f t="shared" si="558"/>
        <v>0.125</v>
      </c>
      <c r="Y583" s="866">
        <f t="shared" si="558"/>
        <v>-1.617</v>
      </c>
      <c r="Z583" s="865">
        <f t="shared" si="559"/>
        <v>-0.94099999999999995</v>
      </c>
      <c r="AA583" s="866">
        <f t="shared" si="559"/>
        <v>-0.76900000000000002</v>
      </c>
      <c r="AB583" s="866">
        <f t="shared" si="560"/>
        <v>-1.0640000000000001</v>
      </c>
      <c r="AC583" s="866">
        <f t="shared" si="560"/>
        <v>-1.107</v>
      </c>
      <c r="AD583" s="866">
        <f t="shared" si="560"/>
        <v>-3.7490000000000001</v>
      </c>
      <c r="AE583" s="865">
        <f t="shared" si="561"/>
        <v>-6.6890000000000001</v>
      </c>
      <c r="AF583" s="866">
        <f t="shared" si="561"/>
        <v>-1.786</v>
      </c>
      <c r="AG583" s="866">
        <f t="shared" si="562"/>
        <v>-0.44099999999999984</v>
      </c>
      <c r="AH583" s="866">
        <f t="shared" si="562"/>
        <v>-121.63</v>
      </c>
      <c r="AI583" s="866">
        <f t="shared" si="562"/>
        <v>-2.7309999999999945</v>
      </c>
      <c r="AJ583" s="865">
        <f t="shared" si="563"/>
        <v>-126.58799999999999</v>
      </c>
      <c r="AK583" s="866">
        <f t="shared" si="563"/>
        <v>-10.552</v>
      </c>
      <c r="AL583" s="866">
        <f t="shared" si="564"/>
        <v>-2.6539999999999999</v>
      </c>
      <c r="AM583" s="866">
        <f t="shared" si="564"/>
        <v>0.61299999999999955</v>
      </c>
      <c r="AN583" s="866">
        <f t="shared" si="564"/>
        <v>-121.43599999999999</v>
      </c>
      <c r="AO583" s="865">
        <f t="shared" si="565"/>
        <v>-134.029</v>
      </c>
      <c r="AP583" s="866">
        <f t="shared" si="565"/>
        <v>-0.28799999999999998</v>
      </c>
      <c r="AQ583" s="866">
        <f t="shared" si="566"/>
        <v>-0.26000000000000006</v>
      </c>
      <c r="AR583" s="866">
        <f t="shared" si="567"/>
        <v>-8.84</v>
      </c>
      <c r="AS583" s="866">
        <f t="shared" si="568"/>
        <v>1.9569999999999999</v>
      </c>
      <c r="AT583" s="865">
        <f t="shared" si="569"/>
        <v>-7.431</v>
      </c>
      <c r="AU583" s="866">
        <f t="shared" si="569"/>
        <v>-4.6150000000000002</v>
      </c>
      <c r="AV583" s="866">
        <f t="shared" si="570"/>
        <v>-1</v>
      </c>
      <c r="AW583" s="878">
        <f t="shared" si="571"/>
        <v>-21.304000000000002</v>
      </c>
      <c r="AX583" s="867"/>
      <c r="AY583" s="864">
        <f t="shared" si="572"/>
        <v>-26.919000000000004</v>
      </c>
      <c r="AZ583" s="867"/>
      <c r="BA583" s="867"/>
      <c r="BB583" s="867"/>
      <c r="BC583" s="867"/>
      <c r="BD583" s="864">
        <f t="shared" si="573"/>
        <v>0</v>
      </c>
      <c r="BE583" s="864"/>
      <c r="BF583" s="864"/>
      <c r="BG583" s="864"/>
      <c r="BH583" s="821"/>
    </row>
    <row r="584" spans="1:60" customFormat="1" x14ac:dyDescent="0.25">
      <c r="A584" s="367" t="str">
        <f t="shared" si="550"/>
        <v>Cash paid in business acquisition</v>
      </c>
      <c r="B584" s="822"/>
      <c r="C584" s="865">
        <f t="shared" si="551"/>
        <v>0</v>
      </c>
      <c r="D584" s="865">
        <f t="shared" si="551"/>
        <v>0</v>
      </c>
      <c r="E584" s="865">
        <f t="shared" si="551"/>
        <v>0</v>
      </c>
      <c r="F584" s="865">
        <f t="shared" si="551"/>
        <v>0</v>
      </c>
      <c r="G584" s="866">
        <f t="shared" si="551"/>
        <v>0</v>
      </c>
      <c r="H584" s="866">
        <f t="shared" si="552"/>
        <v>0</v>
      </c>
      <c r="I584" s="866">
        <f t="shared" si="552"/>
        <v>0</v>
      </c>
      <c r="J584" s="866">
        <f t="shared" si="552"/>
        <v>0</v>
      </c>
      <c r="K584" s="865">
        <f t="shared" si="553"/>
        <v>0</v>
      </c>
      <c r="L584" s="866">
        <f t="shared" si="553"/>
        <v>0</v>
      </c>
      <c r="M584" s="866">
        <f t="shared" si="554"/>
        <v>0</v>
      </c>
      <c r="N584" s="866">
        <f t="shared" si="554"/>
        <v>0</v>
      </c>
      <c r="O584" s="866">
        <f t="shared" si="554"/>
        <v>0</v>
      </c>
      <c r="P584" s="865">
        <f t="shared" si="555"/>
        <v>0</v>
      </c>
      <c r="Q584" s="866">
        <f t="shared" si="555"/>
        <v>0</v>
      </c>
      <c r="R584" s="866">
        <f t="shared" si="556"/>
        <v>0</v>
      </c>
      <c r="S584" s="866">
        <f t="shared" si="556"/>
        <v>0</v>
      </c>
      <c r="T584" s="866">
        <f t="shared" si="556"/>
        <v>0</v>
      </c>
      <c r="U584" s="865">
        <f t="shared" si="557"/>
        <v>0</v>
      </c>
      <c r="V584" s="866">
        <f t="shared" si="557"/>
        <v>0</v>
      </c>
      <c r="W584" s="866">
        <f t="shared" si="558"/>
        <v>0</v>
      </c>
      <c r="X584" s="866">
        <f t="shared" si="558"/>
        <v>0</v>
      </c>
      <c r="Y584" s="866">
        <f t="shared" si="558"/>
        <v>0</v>
      </c>
      <c r="Z584" s="865">
        <f t="shared" si="559"/>
        <v>0</v>
      </c>
      <c r="AA584" s="866">
        <f t="shared" si="559"/>
        <v>0</v>
      </c>
      <c r="AB584" s="866">
        <f t="shared" si="560"/>
        <v>0</v>
      </c>
      <c r="AC584" s="866">
        <f t="shared" si="560"/>
        <v>0</v>
      </c>
      <c r="AD584" s="866">
        <f t="shared" si="560"/>
        <v>0</v>
      </c>
      <c r="AE584" s="865">
        <f t="shared" si="561"/>
        <v>0</v>
      </c>
      <c r="AF584" s="866">
        <f t="shared" si="561"/>
        <v>0</v>
      </c>
      <c r="AG584" s="866">
        <f t="shared" si="562"/>
        <v>0</v>
      </c>
      <c r="AH584" s="866">
        <f t="shared" si="562"/>
        <v>0</v>
      </c>
      <c r="AI584" s="866">
        <f t="shared" si="562"/>
        <v>0</v>
      </c>
      <c r="AJ584" s="865">
        <f t="shared" si="563"/>
        <v>0</v>
      </c>
      <c r="AK584" s="866">
        <f t="shared" si="563"/>
        <v>0</v>
      </c>
      <c r="AL584" s="866">
        <f t="shared" si="564"/>
        <v>0</v>
      </c>
      <c r="AM584" s="866">
        <f t="shared" si="564"/>
        <v>0</v>
      </c>
      <c r="AN584" s="866">
        <f t="shared" si="564"/>
        <v>0</v>
      </c>
      <c r="AO584" s="865">
        <f t="shared" si="565"/>
        <v>0</v>
      </c>
      <c r="AP584" s="866">
        <f t="shared" si="565"/>
        <v>0</v>
      </c>
      <c r="AQ584" s="866">
        <f t="shared" si="566"/>
        <v>0</v>
      </c>
      <c r="AR584" s="866">
        <f t="shared" si="567"/>
        <v>0</v>
      </c>
      <c r="AS584" s="866">
        <f t="shared" si="568"/>
        <v>0</v>
      </c>
      <c r="AT584" s="865">
        <f t="shared" si="569"/>
        <v>0</v>
      </c>
      <c r="AU584" s="866">
        <f t="shared" si="569"/>
        <v>0</v>
      </c>
      <c r="AV584" s="866">
        <f t="shared" si="570"/>
        <v>0</v>
      </c>
      <c r="AW584" s="878">
        <f t="shared" si="571"/>
        <v>0</v>
      </c>
      <c r="AX584" s="867">
        <f>AX435</f>
        <v>0</v>
      </c>
      <c r="AY584" s="864">
        <f t="shared" si="572"/>
        <v>0</v>
      </c>
      <c r="AZ584" s="867">
        <f>AZ435</f>
        <v>0</v>
      </c>
      <c r="BA584" s="867">
        <f>BA435</f>
        <v>0</v>
      </c>
      <c r="BB584" s="867">
        <f>BB435</f>
        <v>0</v>
      </c>
      <c r="BC584" s="867">
        <f>BC435</f>
        <v>0</v>
      </c>
      <c r="BD584" s="864">
        <f t="shared" si="573"/>
        <v>0</v>
      </c>
      <c r="BE584" s="864">
        <f>BE435</f>
        <v>0</v>
      </c>
      <c r="BF584" s="864">
        <f>BF435</f>
        <v>0</v>
      </c>
      <c r="BG584" s="864">
        <f>BG435</f>
        <v>0</v>
      </c>
      <c r="BH584" s="821"/>
    </row>
    <row r="585" spans="1:60" customFormat="1" x14ac:dyDescent="0.25">
      <c r="A585" s="367" t="str">
        <f t="shared" si="550"/>
        <v>Purchases of short-term investments</v>
      </c>
      <c r="B585" s="822"/>
      <c r="C585" s="865">
        <f t="shared" si="551"/>
        <v>-228</v>
      </c>
      <c r="D585" s="865">
        <f t="shared" si="551"/>
        <v>-107.36199999999999</v>
      </c>
      <c r="E585" s="865">
        <f t="shared" si="551"/>
        <v>-223.75</v>
      </c>
      <c r="F585" s="865">
        <f t="shared" si="551"/>
        <v>-477.32100000000003</v>
      </c>
      <c r="G585" s="866">
        <f t="shared" si="551"/>
        <v>-235.62299999999999</v>
      </c>
      <c r="H585" s="866">
        <f t="shared" si="552"/>
        <v>-146.05000000000001</v>
      </c>
      <c r="I585" s="866">
        <f t="shared" si="552"/>
        <v>-116.11599999999999</v>
      </c>
      <c r="J585" s="866">
        <f t="shared" si="552"/>
        <v>-52.475000000000023</v>
      </c>
      <c r="K585" s="865">
        <f t="shared" si="553"/>
        <v>-550.26400000000001</v>
      </c>
      <c r="L585" s="866">
        <f t="shared" si="553"/>
        <v>-60.545999999999999</v>
      </c>
      <c r="M585" s="866">
        <f t="shared" si="554"/>
        <v>-170.90800000000002</v>
      </c>
      <c r="N585" s="866">
        <f t="shared" si="554"/>
        <v>-123.88299999999998</v>
      </c>
      <c r="O585" s="866">
        <f t="shared" si="554"/>
        <v>-71.597000000000037</v>
      </c>
      <c r="P585" s="865">
        <f t="shared" si="555"/>
        <v>-426.93400000000003</v>
      </c>
      <c r="Q585" s="866">
        <f t="shared" si="555"/>
        <v>-90.94</v>
      </c>
      <c r="R585" s="866">
        <f t="shared" si="556"/>
        <v>-67.949000000000012</v>
      </c>
      <c r="S585" s="866">
        <f t="shared" si="556"/>
        <v>-66.443999999999988</v>
      </c>
      <c r="T585" s="866">
        <f t="shared" si="556"/>
        <v>-146.58200000000002</v>
      </c>
      <c r="U585" s="865">
        <f t="shared" si="557"/>
        <v>-371.91500000000002</v>
      </c>
      <c r="V585" s="866">
        <f t="shared" si="557"/>
        <v>-34.962000000000003</v>
      </c>
      <c r="W585" s="866">
        <f t="shared" si="558"/>
        <v>-18.491999999999997</v>
      </c>
      <c r="X585" s="866">
        <f t="shared" si="558"/>
        <v>-128.136</v>
      </c>
      <c r="Y585" s="866">
        <f t="shared" si="558"/>
        <v>-5.6030000000000086</v>
      </c>
      <c r="Z585" s="865">
        <f t="shared" si="559"/>
        <v>-187.19300000000001</v>
      </c>
      <c r="AA585" s="866">
        <f t="shared" si="559"/>
        <v>-57.774000000000001</v>
      </c>
      <c r="AB585" s="866">
        <f t="shared" si="560"/>
        <v>-14.245999999999995</v>
      </c>
      <c r="AC585" s="866">
        <f t="shared" si="560"/>
        <v>-2.7990000000000066</v>
      </c>
      <c r="AD585" s="866">
        <f t="shared" si="560"/>
        <v>0</v>
      </c>
      <c r="AE585" s="865">
        <f t="shared" si="561"/>
        <v>-74.819000000000003</v>
      </c>
      <c r="AF585" s="866">
        <f t="shared" si="561"/>
        <v>0</v>
      </c>
      <c r="AG585" s="866">
        <f t="shared" si="562"/>
        <v>0</v>
      </c>
      <c r="AH585" s="866">
        <f t="shared" si="562"/>
        <v>0</v>
      </c>
      <c r="AI585" s="866">
        <f t="shared" si="562"/>
        <v>0</v>
      </c>
      <c r="AJ585" s="865">
        <f t="shared" si="563"/>
        <v>0</v>
      </c>
      <c r="AK585" s="866">
        <f t="shared" si="563"/>
        <v>0</v>
      </c>
      <c r="AL585" s="866">
        <f t="shared" si="564"/>
        <v>0</v>
      </c>
      <c r="AM585" s="866">
        <f t="shared" si="564"/>
        <v>0</v>
      </c>
      <c r="AN585" s="866">
        <f t="shared" si="564"/>
        <v>0</v>
      </c>
      <c r="AO585" s="865">
        <f t="shared" si="565"/>
        <v>0</v>
      </c>
      <c r="AP585" s="866">
        <f t="shared" si="565"/>
        <v>0</v>
      </c>
      <c r="AQ585" s="866">
        <f t="shared" si="566"/>
        <v>0</v>
      </c>
      <c r="AR585" s="866">
        <f t="shared" si="567"/>
        <v>0</v>
      </c>
      <c r="AS585" s="866">
        <f t="shared" si="568"/>
        <v>0</v>
      </c>
      <c r="AT585" s="865">
        <f t="shared" si="569"/>
        <v>0</v>
      </c>
      <c r="AU585" s="866">
        <f t="shared" si="569"/>
        <v>0</v>
      </c>
      <c r="AV585" s="866">
        <f t="shared" si="570"/>
        <v>0</v>
      </c>
      <c r="AW585" s="878">
        <f t="shared" si="571"/>
        <v>0</v>
      </c>
      <c r="AX585" s="867"/>
      <c r="AY585" s="864">
        <f t="shared" si="572"/>
        <v>0</v>
      </c>
      <c r="AZ585" s="867"/>
      <c r="BA585" s="867"/>
      <c r="BB585" s="867"/>
      <c r="BC585" s="867"/>
      <c r="BD585" s="864">
        <f t="shared" si="573"/>
        <v>0</v>
      </c>
      <c r="BE585" s="864"/>
      <c r="BF585" s="864"/>
      <c r="BG585" s="864"/>
      <c r="BH585" s="821"/>
    </row>
    <row r="586" spans="1:60" customFormat="1" x14ac:dyDescent="0.25">
      <c r="A586" s="367" t="str">
        <f t="shared" si="550"/>
        <v>Proceeds from sale of short-term investments</v>
      </c>
      <c r="B586" s="822"/>
      <c r="C586" s="865">
        <f t="shared" si="551"/>
        <v>166.70599999999999</v>
      </c>
      <c r="D586" s="865">
        <f t="shared" si="551"/>
        <v>120.857</v>
      </c>
      <c r="E586" s="865">
        <f t="shared" si="551"/>
        <v>50.993000000000002</v>
      </c>
      <c r="F586" s="865">
        <f t="shared" si="551"/>
        <v>282.95299999999997</v>
      </c>
      <c r="G586" s="866">
        <f t="shared" si="551"/>
        <v>81.227999999999994</v>
      </c>
      <c r="H586" s="866">
        <f t="shared" si="552"/>
        <v>33.978999999999999</v>
      </c>
      <c r="I586" s="866">
        <f t="shared" si="552"/>
        <v>81.185000000000002</v>
      </c>
      <c r="J586" s="866">
        <f t="shared" si="552"/>
        <v>151.11000000000001</v>
      </c>
      <c r="K586" s="865">
        <f t="shared" si="553"/>
        <v>347.50200000000001</v>
      </c>
      <c r="L586" s="866">
        <f t="shared" si="553"/>
        <v>143.048</v>
      </c>
      <c r="M586" s="866">
        <f t="shared" si="554"/>
        <v>89.662000000000006</v>
      </c>
      <c r="N586" s="866">
        <f t="shared" si="554"/>
        <v>107.56800000000001</v>
      </c>
      <c r="O586" s="866">
        <f t="shared" si="554"/>
        <v>45.021999999999991</v>
      </c>
      <c r="P586" s="865">
        <f t="shared" si="555"/>
        <v>385.3</v>
      </c>
      <c r="Q586" s="866">
        <f t="shared" si="555"/>
        <v>51.948</v>
      </c>
      <c r="R586" s="866">
        <f t="shared" si="556"/>
        <v>48.411999999999999</v>
      </c>
      <c r="S586" s="866">
        <f t="shared" si="556"/>
        <v>43.887000000000015</v>
      </c>
      <c r="T586" s="866">
        <f t="shared" si="556"/>
        <v>114.83199999999999</v>
      </c>
      <c r="U586" s="865">
        <f t="shared" si="557"/>
        <v>259.07900000000001</v>
      </c>
      <c r="V586" s="866">
        <f t="shared" si="557"/>
        <v>8.1880000000000006</v>
      </c>
      <c r="W586" s="866">
        <f t="shared" si="558"/>
        <v>18.752000000000002</v>
      </c>
      <c r="X586" s="866">
        <f t="shared" si="558"/>
        <v>171.74700000000001</v>
      </c>
      <c r="Y586" s="866">
        <f t="shared" si="558"/>
        <v>83.796999999999969</v>
      </c>
      <c r="Z586" s="865">
        <f t="shared" si="559"/>
        <v>282.48399999999998</v>
      </c>
      <c r="AA586" s="866">
        <f t="shared" si="559"/>
        <v>55.747999999999998</v>
      </c>
      <c r="AB586" s="866">
        <f t="shared" si="560"/>
        <v>14.128000000000007</v>
      </c>
      <c r="AC586" s="866">
        <f t="shared" si="560"/>
        <v>250.27799999999999</v>
      </c>
      <c r="AD586" s="866">
        <f t="shared" si="560"/>
        <v>0</v>
      </c>
      <c r="AE586" s="865">
        <f t="shared" si="561"/>
        <v>320.154</v>
      </c>
      <c r="AF586" s="866">
        <f t="shared" si="561"/>
        <v>0</v>
      </c>
      <c r="AG586" s="866">
        <f t="shared" si="562"/>
        <v>0</v>
      </c>
      <c r="AH586" s="866">
        <f t="shared" si="562"/>
        <v>0</v>
      </c>
      <c r="AI586" s="866">
        <f t="shared" si="562"/>
        <v>0</v>
      </c>
      <c r="AJ586" s="865">
        <f t="shared" si="563"/>
        <v>0</v>
      </c>
      <c r="AK586" s="866">
        <f t="shared" si="563"/>
        <v>0</v>
      </c>
      <c r="AL586" s="866">
        <f t="shared" si="564"/>
        <v>0</v>
      </c>
      <c r="AM586" s="866">
        <f t="shared" si="564"/>
        <v>0</v>
      </c>
      <c r="AN586" s="866">
        <f t="shared" si="564"/>
        <v>0</v>
      </c>
      <c r="AO586" s="865">
        <f t="shared" si="565"/>
        <v>0</v>
      </c>
      <c r="AP586" s="866">
        <f t="shared" si="565"/>
        <v>0</v>
      </c>
      <c r="AQ586" s="866">
        <f t="shared" si="566"/>
        <v>0</v>
      </c>
      <c r="AR586" s="866">
        <f t="shared" si="567"/>
        <v>0</v>
      </c>
      <c r="AS586" s="866">
        <f t="shared" si="568"/>
        <v>0</v>
      </c>
      <c r="AT586" s="865">
        <f t="shared" si="569"/>
        <v>0</v>
      </c>
      <c r="AU586" s="866">
        <f t="shared" si="569"/>
        <v>0</v>
      </c>
      <c r="AV586" s="866">
        <f t="shared" si="570"/>
        <v>0</v>
      </c>
      <c r="AW586" s="878">
        <f t="shared" si="571"/>
        <v>0</v>
      </c>
      <c r="AX586" s="867"/>
      <c r="AY586" s="864">
        <f t="shared" si="572"/>
        <v>0</v>
      </c>
      <c r="AZ586" s="867"/>
      <c r="BA586" s="867"/>
      <c r="BB586" s="867"/>
      <c r="BC586" s="867"/>
      <c r="BD586" s="864">
        <f t="shared" si="573"/>
        <v>0</v>
      </c>
      <c r="BE586" s="864"/>
      <c r="BF586" s="864"/>
      <c r="BG586" s="864"/>
      <c r="BH586" s="821"/>
    </row>
    <row r="587" spans="1:60" customFormat="1" x14ac:dyDescent="0.25">
      <c r="A587" s="113" t="str">
        <f t="shared" si="550"/>
        <v>Proceeds from maturities of short-term investments</v>
      </c>
      <c r="B587" s="827"/>
      <c r="C587" s="886">
        <f t="shared" si="551"/>
        <v>35.673000000000002</v>
      </c>
      <c r="D587" s="886">
        <f t="shared" si="551"/>
        <v>15.818</v>
      </c>
      <c r="E587" s="886">
        <f t="shared" si="551"/>
        <v>38.104999999999997</v>
      </c>
      <c r="F587" s="886">
        <f t="shared" si="551"/>
        <v>29.364999999999998</v>
      </c>
      <c r="G587" s="885">
        <f t="shared" si="551"/>
        <v>4.42</v>
      </c>
      <c r="H587" s="885">
        <f t="shared" si="552"/>
        <v>5.41</v>
      </c>
      <c r="I587" s="885">
        <f t="shared" si="552"/>
        <v>48.89</v>
      </c>
      <c r="J587" s="885">
        <f t="shared" si="552"/>
        <v>2.2049999999999983</v>
      </c>
      <c r="K587" s="886">
        <f t="shared" si="553"/>
        <v>60.924999999999997</v>
      </c>
      <c r="L587" s="885">
        <f t="shared" si="553"/>
        <v>3.09</v>
      </c>
      <c r="M587" s="885">
        <f t="shared" si="554"/>
        <v>92.013999999999996</v>
      </c>
      <c r="N587" s="885">
        <f t="shared" si="554"/>
        <v>32.125</v>
      </c>
      <c r="O587" s="885">
        <f t="shared" si="554"/>
        <v>14.720999999999989</v>
      </c>
      <c r="P587" s="886">
        <f t="shared" si="555"/>
        <v>141.94999999999999</v>
      </c>
      <c r="Q587" s="885">
        <f t="shared" si="555"/>
        <v>31.887</v>
      </c>
      <c r="R587" s="885">
        <f t="shared" si="556"/>
        <v>19.170000000000002</v>
      </c>
      <c r="S587" s="885">
        <f t="shared" si="556"/>
        <v>31.125</v>
      </c>
      <c r="T587" s="885">
        <f t="shared" si="556"/>
        <v>22.58</v>
      </c>
      <c r="U587" s="886">
        <f t="shared" si="557"/>
        <v>104.762</v>
      </c>
      <c r="V587" s="885">
        <f t="shared" si="557"/>
        <v>63.024999999999999</v>
      </c>
      <c r="W587" s="885">
        <f t="shared" si="558"/>
        <v>24.675000000000004</v>
      </c>
      <c r="X587" s="885">
        <f t="shared" si="558"/>
        <v>24.855000000000004</v>
      </c>
      <c r="Y587" s="885">
        <f t="shared" si="558"/>
        <v>27.689999999999998</v>
      </c>
      <c r="Z587" s="886">
        <f t="shared" si="559"/>
        <v>140.245</v>
      </c>
      <c r="AA587" s="885">
        <f t="shared" si="559"/>
        <v>5.0999999999999996</v>
      </c>
      <c r="AB587" s="885">
        <f t="shared" si="560"/>
        <v>17.604999999999997</v>
      </c>
      <c r="AC587" s="885">
        <f t="shared" si="560"/>
        <v>0</v>
      </c>
      <c r="AD587" s="885">
        <f t="shared" si="560"/>
        <v>0</v>
      </c>
      <c r="AE587" s="886">
        <f t="shared" si="561"/>
        <v>22.704999999999998</v>
      </c>
      <c r="AF587" s="885">
        <f t="shared" si="561"/>
        <v>0</v>
      </c>
      <c r="AG587" s="885">
        <f t="shared" si="562"/>
        <v>0</v>
      </c>
      <c r="AH587" s="885">
        <f t="shared" si="562"/>
        <v>0</v>
      </c>
      <c r="AI587" s="885">
        <f t="shared" si="562"/>
        <v>0</v>
      </c>
      <c r="AJ587" s="886">
        <f t="shared" si="563"/>
        <v>0</v>
      </c>
      <c r="AK587" s="885">
        <f t="shared" si="563"/>
        <v>0</v>
      </c>
      <c r="AL587" s="885">
        <f t="shared" si="564"/>
        <v>0</v>
      </c>
      <c r="AM587" s="885">
        <f t="shared" si="564"/>
        <v>0</v>
      </c>
      <c r="AN587" s="885">
        <f t="shared" si="564"/>
        <v>0</v>
      </c>
      <c r="AO587" s="886">
        <f t="shared" si="565"/>
        <v>0</v>
      </c>
      <c r="AP587" s="885">
        <f t="shared" si="565"/>
        <v>0</v>
      </c>
      <c r="AQ587" s="885">
        <f t="shared" si="566"/>
        <v>0</v>
      </c>
      <c r="AR587" s="885">
        <f t="shared" si="567"/>
        <v>0</v>
      </c>
      <c r="AS587" s="885">
        <f t="shared" si="568"/>
        <v>0</v>
      </c>
      <c r="AT587" s="886">
        <f t="shared" si="569"/>
        <v>0</v>
      </c>
      <c r="AU587" s="885">
        <f t="shared" si="569"/>
        <v>0</v>
      </c>
      <c r="AV587" s="885">
        <f t="shared" si="570"/>
        <v>0</v>
      </c>
      <c r="AW587" s="891">
        <f t="shared" si="571"/>
        <v>0</v>
      </c>
      <c r="AX587" s="882"/>
      <c r="AY587" s="881">
        <f t="shared" si="572"/>
        <v>0</v>
      </c>
      <c r="AZ587" s="882"/>
      <c r="BA587" s="882"/>
      <c r="BB587" s="882"/>
      <c r="BC587" s="882"/>
      <c r="BD587" s="881">
        <f t="shared" si="573"/>
        <v>0</v>
      </c>
      <c r="BE587" s="881"/>
      <c r="BF587" s="881"/>
      <c r="BG587" s="881"/>
      <c r="BH587" s="821"/>
    </row>
    <row r="588" spans="1:60" customFormat="1" x14ac:dyDescent="0.25">
      <c r="A588" s="61" t="str">
        <f t="shared" si="550"/>
        <v>Net CFI</v>
      </c>
      <c r="B588" s="505"/>
      <c r="C588" s="872">
        <f t="shared" ref="C588:AH588" si="574">SUM(C578:C587)</f>
        <v>-246.07899999999995</v>
      </c>
      <c r="D588" s="872">
        <f t="shared" si="574"/>
        <v>-116.081</v>
      </c>
      <c r="E588" s="872">
        <f t="shared" si="574"/>
        <v>-265.81400000000002</v>
      </c>
      <c r="F588" s="872">
        <f t="shared" si="574"/>
        <v>-244.74</v>
      </c>
      <c r="G588" s="871">
        <f t="shared" si="574"/>
        <v>-179.23600000000002</v>
      </c>
      <c r="H588" s="871">
        <f t="shared" si="574"/>
        <v>-127.68500000000003</v>
      </c>
      <c r="I588" s="871">
        <f t="shared" si="574"/>
        <v>-13.668999999999969</v>
      </c>
      <c r="J588" s="871">
        <f t="shared" si="574"/>
        <v>64.621999999999971</v>
      </c>
      <c r="K588" s="872">
        <f t="shared" si="574"/>
        <v>-255.96799999999996</v>
      </c>
      <c r="L588" s="871">
        <f t="shared" si="574"/>
        <v>57.63900000000001</v>
      </c>
      <c r="M588" s="871">
        <f t="shared" si="574"/>
        <v>-28.953000000000017</v>
      </c>
      <c r="N588" s="871">
        <f t="shared" si="574"/>
        <v>-20.410999999999973</v>
      </c>
      <c r="O588" s="871">
        <f t="shared" si="574"/>
        <v>-51.141000000000062</v>
      </c>
      <c r="P588" s="872">
        <f t="shared" si="574"/>
        <v>-42.865999999999985</v>
      </c>
      <c r="Q588" s="871">
        <f t="shared" si="574"/>
        <v>-42.822000000000003</v>
      </c>
      <c r="R588" s="871">
        <f t="shared" si="574"/>
        <v>-48.33</v>
      </c>
      <c r="S588" s="871">
        <f t="shared" si="574"/>
        <v>-47.478999999999971</v>
      </c>
      <c r="T588" s="871">
        <f t="shared" si="574"/>
        <v>-40.561000000000021</v>
      </c>
      <c r="U588" s="872">
        <f t="shared" si="574"/>
        <v>-179.19200000000001</v>
      </c>
      <c r="V588" s="871">
        <f t="shared" si="574"/>
        <v>4.2629999999999981</v>
      </c>
      <c r="W588" s="871">
        <f t="shared" si="574"/>
        <v>-2.8959999999999866</v>
      </c>
      <c r="X588" s="871">
        <f t="shared" si="574"/>
        <v>23.976000000000042</v>
      </c>
      <c r="Y588" s="871">
        <f t="shared" si="574"/>
        <v>24.42199999999994</v>
      </c>
      <c r="Z588" s="872">
        <f t="shared" si="574"/>
        <v>49.76499999999993</v>
      </c>
      <c r="AA588" s="871">
        <f t="shared" si="574"/>
        <v>-75.590000000000032</v>
      </c>
      <c r="AB588" s="871">
        <f t="shared" si="574"/>
        <v>-56.431999999999981</v>
      </c>
      <c r="AC588" s="871">
        <f t="shared" si="574"/>
        <v>202.19199999999998</v>
      </c>
      <c r="AD588" s="871">
        <f t="shared" si="574"/>
        <v>-35.84099999999998</v>
      </c>
      <c r="AE588" s="872">
        <f t="shared" si="574"/>
        <v>34.329000000000022</v>
      </c>
      <c r="AF588" s="871">
        <f t="shared" si="574"/>
        <v>-49.752000000000002</v>
      </c>
      <c r="AG588" s="871">
        <f t="shared" si="574"/>
        <v>-40.315999999999995</v>
      </c>
      <c r="AH588" s="871">
        <f t="shared" si="574"/>
        <v>-168.69399999999999</v>
      </c>
      <c r="AI588" s="871">
        <f t="shared" ref="AI588:AY588" si="575">SUM(AI578:AI587)</f>
        <v>-80.358000000000004</v>
      </c>
      <c r="AJ588" s="872">
        <f t="shared" si="575"/>
        <v>-339.12</v>
      </c>
      <c r="AK588" s="871">
        <f t="shared" si="575"/>
        <v>-80.103000000000009</v>
      </c>
      <c r="AL588" s="871">
        <f t="shared" si="575"/>
        <v>-50.036000000000001</v>
      </c>
      <c r="AM588" s="871">
        <f t="shared" si="575"/>
        <v>-49.353999999999999</v>
      </c>
      <c r="AN588" s="871">
        <f t="shared" si="575"/>
        <v>-207.57099999999997</v>
      </c>
      <c r="AO588" s="872">
        <f t="shared" si="575"/>
        <v>-387.06399999999996</v>
      </c>
      <c r="AP588" s="871">
        <f t="shared" si="575"/>
        <v>-98.302999999999997</v>
      </c>
      <c r="AQ588" s="871">
        <f t="shared" si="575"/>
        <v>-142.00099999999998</v>
      </c>
      <c r="AR588" s="871">
        <f>SUM(AR578:AR587)</f>
        <v>-118.65100000000001</v>
      </c>
      <c r="AS588" s="871">
        <f>SUM(AS578:AS587)</f>
        <v>-146.399</v>
      </c>
      <c r="AT588" s="872">
        <f>SUM(AT578:AT587)</f>
        <v>-505.35399999999998</v>
      </c>
      <c r="AU588" s="871">
        <f t="shared" ref="AU588" si="576">SUM(AU578:AU587)</f>
        <v>-85.616</v>
      </c>
      <c r="AV588" s="871">
        <f>SUM(AV578:AV587)</f>
        <v>-111.27799999999999</v>
      </c>
      <c r="AW588" s="873">
        <f>SUM(AW578:AW587)</f>
        <v>-188.631</v>
      </c>
      <c r="AX588" s="870">
        <f t="shared" si="575"/>
        <v>-100</v>
      </c>
      <c r="AY588" s="869">
        <f t="shared" si="575"/>
        <v>-485.52499999999998</v>
      </c>
      <c r="AZ588" s="870">
        <f t="shared" ref="AZ588:BG588" si="577">SUM(AZ578:AZ587)</f>
        <v>-100</v>
      </c>
      <c r="BA588" s="870">
        <f t="shared" si="577"/>
        <v>-100</v>
      </c>
      <c r="BB588" s="870">
        <f t="shared" si="577"/>
        <v>-100</v>
      </c>
      <c r="BC588" s="870">
        <f t="shared" si="577"/>
        <v>-100</v>
      </c>
      <c r="BD588" s="869">
        <f t="shared" si="577"/>
        <v>-400</v>
      </c>
      <c r="BE588" s="869">
        <f t="shared" si="577"/>
        <v>-400</v>
      </c>
      <c r="BF588" s="869">
        <f t="shared" si="577"/>
        <v>-400</v>
      </c>
      <c r="BG588" s="869">
        <f t="shared" si="577"/>
        <v>-400</v>
      </c>
      <c r="BH588" s="824"/>
    </row>
    <row r="589" spans="1:60" customFormat="1" x14ac:dyDescent="0.25">
      <c r="A589" s="494"/>
      <c r="B589" s="423"/>
      <c r="C589" s="874"/>
      <c r="D589" s="874"/>
      <c r="E589" s="874"/>
      <c r="F589" s="874"/>
      <c r="G589" s="879"/>
      <c r="H589" s="879"/>
      <c r="I589" s="879"/>
      <c r="J589" s="879"/>
      <c r="K589" s="874"/>
      <c r="L589" s="879"/>
      <c r="M589" s="879"/>
      <c r="N589" s="879"/>
      <c r="O589" s="879"/>
      <c r="P589" s="874"/>
      <c r="Q589" s="879"/>
      <c r="R589" s="879"/>
      <c r="S589" s="879"/>
      <c r="T589" s="879"/>
      <c r="U589" s="874"/>
      <c r="V589" s="879"/>
      <c r="W589" s="879"/>
      <c r="X589" s="879"/>
      <c r="Y589" s="879"/>
      <c r="Z589" s="874"/>
      <c r="AA589" s="879"/>
      <c r="AB589" s="879"/>
      <c r="AC589" s="879"/>
      <c r="AD589" s="879"/>
      <c r="AE589" s="874"/>
      <c r="AF589" s="879"/>
      <c r="AG589" s="879"/>
      <c r="AH589" s="879"/>
      <c r="AI589" s="879"/>
      <c r="AJ589" s="874"/>
      <c r="AK589" s="879"/>
      <c r="AL589" s="879"/>
      <c r="AM589" s="879"/>
      <c r="AN589" s="879"/>
      <c r="AO589" s="874"/>
      <c r="AP589" s="879"/>
      <c r="AQ589" s="879"/>
      <c r="AR589" s="879"/>
      <c r="AS589" s="879"/>
      <c r="AT589" s="874"/>
      <c r="AU589" s="879"/>
      <c r="AV589" s="879"/>
      <c r="AW589" s="880"/>
      <c r="AX589" s="879"/>
      <c r="AY589" s="874"/>
      <c r="AZ589" s="879"/>
      <c r="BA589" s="879"/>
      <c r="BB589" s="879"/>
      <c r="BC589" s="879"/>
      <c r="BD589" s="874"/>
      <c r="BE589" s="874"/>
      <c r="BF589" s="874"/>
      <c r="BG589" s="874"/>
      <c r="BH589" s="824"/>
    </row>
    <row r="590" spans="1:60" customFormat="1" x14ac:dyDescent="0.25">
      <c r="A590" s="63" t="str">
        <f t="shared" ref="A590:A605" si="578">A530</f>
        <v>CFF</v>
      </c>
      <c r="B590" s="423"/>
      <c r="C590" s="874"/>
      <c r="D590" s="874"/>
      <c r="E590" s="874"/>
      <c r="F590" s="874"/>
      <c r="G590" s="879"/>
      <c r="H590" s="879"/>
      <c r="I590" s="879"/>
      <c r="J590" s="879"/>
      <c r="K590" s="874"/>
      <c r="L590" s="879"/>
      <c r="M590" s="879"/>
      <c r="N590" s="879"/>
      <c r="O590" s="879"/>
      <c r="P590" s="874"/>
      <c r="Q590" s="879"/>
      <c r="R590" s="879"/>
      <c r="S590" s="879"/>
      <c r="T590" s="879"/>
      <c r="U590" s="874"/>
      <c r="V590" s="879"/>
      <c r="W590" s="879"/>
      <c r="X590" s="879"/>
      <c r="Y590" s="879"/>
      <c r="Z590" s="874"/>
      <c r="AA590" s="879"/>
      <c r="AB590" s="879"/>
      <c r="AC590" s="879"/>
      <c r="AD590" s="879"/>
      <c r="AE590" s="874"/>
      <c r="AF590" s="879"/>
      <c r="AG590" s="879"/>
      <c r="AH590" s="879"/>
      <c r="AI590" s="879"/>
      <c r="AJ590" s="874"/>
      <c r="AK590" s="879"/>
      <c r="AL590" s="879"/>
      <c r="AM590" s="879"/>
      <c r="AN590" s="879"/>
      <c r="AO590" s="874"/>
      <c r="AP590" s="879"/>
      <c r="AQ590" s="879"/>
      <c r="AR590" s="879"/>
      <c r="AS590" s="879"/>
      <c r="AT590" s="874"/>
      <c r="AU590" s="879"/>
      <c r="AV590" s="879"/>
      <c r="AW590" s="880"/>
      <c r="AX590" s="879"/>
      <c r="AY590" s="874"/>
      <c r="AZ590" s="879"/>
      <c r="BA590" s="879"/>
      <c r="BB590" s="879"/>
      <c r="BC590" s="879"/>
      <c r="BD590" s="874"/>
      <c r="BE590" s="874"/>
      <c r="BF590" s="874"/>
      <c r="BG590" s="874"/>
      <c r="BH590" s="824"/>
    </row>
    <row r="591" spans="1:60" customFormat="1" x14ac:dyDescent="0.25">
      <c r="A591" s="367" t="str">
        <f t="shared" si="578"/>
        <v>Proceeds from issuance of common stock</v>
      </c>
      <c r="B591" s="822"/>
      <c r="C591" s="865">
        <f t="shared" ref="C591:G604" si="579">C531</f>
        <v>35.274000000000001</v>
      </c>
      <c r="D591" s="865">
        <f t="shared" si="579"/>
        <v>0</v>
      </c>
      <c r="E591" s="865">
        <f t="shared" si="579"/>
        <v>19.614000000000001</v>
      </c>
      <c r="F591" s="865">
        <f t="shared" si="579"/>
        <v>4.1239999999999997</v>
      </c>
      <c r="G591" s="866">
        <f t="shared" si="579"/>
        <v>39.146000000000001</v>
      </c>
      <c r="H591" s="866">
        <f t="shared" ref="H591:J604" si="580">H531-G531</f>
        <v>28.846000000000004</v>
      </c>
      <c r="I591" s="866">
        <f t="shared" si="580"/>
        <v>25.560999999999993</v>
      </c>
      <c r="J591" s="866">
        <f t="shared" si="580"/>
        <v>31.004000000000005</v>
      </c>
      <c r="K591" s="865">
        <f t="shared" ref="K591:L604" si="581">K531</f>
        <v>124.557</v>
      </c>
      <c r="L591" s="866">
        <f t="shared" si="581"/>
        <v>32.448</v>
      </c>
      <c r="M591" s="866">
        <f t="shared" ref="M591:O604" si="582">M531-L531</f>
        <v>14.469000000000001</v>
      </c>
      <c r="N591" s="866">
        <f t="shared" si="582"/>
        <v>9.8769999999999953</v>
      </c>
      <c r="O591" s="866">
        <f t="shared" si="582"/>
        <v>3.75</v>
      </c>
      <c r="P591" s="865">
        <f t="shared" ref="P591:Q604" si="583">P531</f>
        <v>60.543999999999997</v>
      </c>
      <c r="Q591" s="866">
        <f t="shared" si="583"/>
        <v>10.916</v>
      </c>
      <c r="R591" s="866">
        <f t="shared" ref="R591:T604" si="584">R531-Q531</f>
        <v>23.803999999999998</v>
      </c>
      <c r="S591" s="866">
        <f t="shared" si="584"/>
        <v>35.088999999999999</v>
      </c>
      <c r="T591" s="866">
        <f t="shared" si="584"/>
        <v>8.1710000000000065</v>
      </c>
      <c r="U591" s="865">
        <f t="shared" ref="U591:V604" si="585">U531</f>
        <v>77.98</v>
      </c>
      <c r="V591" s="866">
        <f t="shared" si="585"/>
        <v>3.536</v>
      </c>
      <c r="W591" s="866">
        <f t="shared" ref="W591:Y604" si="586">W531-V531</f>
        <v>4.2319999999999993</v>
      </c>
      <c r="X591" s="866">
        <f t="shared" si="586"/>
        <v>3.819</v>
      </c>
      <c r="Y591" s="866">
        <f t="shared" si="586"/>
        <v>25.391999999999999</v>
      </c>
      <c r="Z591" s="865">
        <f t="shared" ref="Z591:AA604" si="587">Z531</f>
        <v>36.978999999999999</v>
      </c>
      <c r="AA591" s="866">
        <f t="shared" si="587"/>
        <v>24.178000000000001</v>
      </c>
      <c r="AB591" s="866">
        <f t="shared" ref="AB591:AD604" si="588">AB531-AA531</f>
        <v>14.825999999999997</v>
      </c>
      <c r="AC591" s="866">
        <f t="shared" si="588"/>
        <v>34.669000000000004</v>
      </c>
      <c r="AD591" s="866">
        <f t="shared" si="588"/>
        <v>14.704999999999998</v>
      </c>
      <c r="AE591" s="865">
        <f t="shared" ref="AE591:AF604" si="589">AE531</f>
        <v>88.378</v>
      </c>
      <c r="AF591" s="866">
        <f t="shared" si="589"/>
        <v>56.335000000000001</v>
      </c>
      <c r="AG591" s="866">
        <f t="shared" ref="AG591:AI604" si="590">AG531-AF531</f>
        <v>26.936</v>
      </c>
      <c r="AH591" s="866">
        <f t="shared" si="590"/>
        <v>29.781000000000006</v>
      </c>
      <c r="AI591" s="866">
        <f t="shared" si="590"/>
        <v>11.449999999999989</v>
      </c>
      <c r="AJ591" s="865">
        <f t="shared" ref="AJ591:AK604" si="591">AJ531</f>
        <v>124.502</v>
      </c>
      <c r="AK591" s="866">
        <f t="shared" si="591"/>
        <v>22.972000000000001</v>
      </c>
      <c r="AL591" s="866">
        <f t="shared" ref="AL591:AN604" si="592">AL531-AK531</f>
        <v>21.896000000000001</v>
      </c>
      <c r="AM591" s="866">
        <f t="shared" si="592"/>
        <v>11.988999999999997</v>
      </c>
      <c r="AN591" s="866">
        <f t="shared" si="592"/>
        <v>15.632999999999996</v>
      </c>
      <c r="AO591" s="865">
        <f t="shared" ref="AO591:AP604" si="593">AO531</f>
        <v>72.489999999999995</v>
      </c>
      <c r="AP591" s="866">
        <f t="shared" si="593"/>
        <v>43.694000000000003</v>
      </c>
      <c r="AQ591" s="866">
        <f t="shared" ref="AQ591:AQ604" si="594">AQ531-AP531</f>
        <v>89.059999999999988</v>
      </c>
      <c r="AR591" s="866">
        <f t="shared" ref="AR591:AR604" si="595">AR531-AQ531</f>
        <v>68.66500000000002</v>
      </c>
      <c r="AS591" s="866">
        <f t="shared" ref="AS591:AS604" si="596">AS531-AR531</f>
        <v>33.986999999999995</v>
      </c>
      <c r="AT591" s="865">
        <f t="shared" ref="AT591:AU604" si="597">AT531</f>
        <v>235.40600000000001</v>
      </c>
      <c r="AU591" s="866">
        <f t="shared" si="597"/>
        <v>48.070999999999998</v>
      </c>
      <c r="AV591" s="866">
        <f t="shared" ref="AV591:AV604" si="598">AV531-AU531</f>
        <v>19.748999999999995</v>
      </c>
      <c r="AW591" s="878">
        <f t="shared" ref="AW591:AW604" si="599">AW531-AV531</f>
        <v>18.445000000000007</v>
      </c>
      <c r="AX591" s="867"/>
      <c r="AY591" s="864">
        <f t="shared" ref="AY591:AY604" si="600">SUM(AU591,AV591,AW591,AX591)</f>
        <v>86.265000000000001</v>
      </c>
      <c r="AZ591" s="867"/>
      <c r="BA591" s="867"/>
      <c r="BB591" s="867"/>
      <c r="BC591" s="867"/>
      <c r="BD591" s="864">
        <f t="shared" ref="BD591:BD604" si="601">SUM(AZ591,BA591,BB591,BC591)</f>
        <v>0</v>
      </c>
      <c r="BE591" s="864"/>
      <c r="BF591" s="864"/>
      <c r="BG591" s="864"/>
      <c r="BH591" s="821"/>
    </row>
    <row r="592" spans="1:60" customFormat="1" x14ac:dyDescent="0.25">
      <c r="A592" s="367" t="str">
        <f t="shared" si="578"/>
        <v>Proceeds from public offering of common stock, net of issuance costs</v>
      </c>
      <c r="B592" s="822"/>
      <c r="C592" s="865">
        <f t="shared" si="579"/>
        <v>193.917</v>
      </c>
      <c r="D592" s="865">
        <f t="shared" si="579"/>
        <v>0</v>
      </c>
      <c r="E592" s="865">
        <f t="shared" si="579"/>
        <v>199.947</v>
      </c>
      <c r="F592" s="865">
        <f t="shared" si="579"/>
        <v>0</v>
      </c>
      <c r="G592" s="866">
        <f t="shared" si="579"/>
        <v>0</v>
      </c>
      <c r="H592" s="866">
        <f t="shared" si="580"/>
        <v>0</v>
      </c>
      <c r="I592" s="866">
        <f t="shared" si="580"/>
        <v>0</v>
      </c>
      <c r="J592" s="866">
        <f t="shared" si="580"/>
        <v>0</v>
      </c>
      <c r="K592" s="865">
        <f t="shared" si="581"/>
        <v>0</v>
      </c>
      <c r="L592" s="866">
        <f t="shared" si="581"/>
        <v>0</v>
      </c>
      <c r="M592" s="866">
        <f t="shared" si="582"/>
        <v>0</v>
      </c>
      <c r="N592" s="866">
        <f t="shared" si="582"/>
        <v>0</v>
      </c>
      <c r="O592" s="866">
        <f t="shared" si="582"/>
        <v>0</v>
      </c>
      <c r="P592" s="865">
        <f t="shared" si="583"/>
        <v>0</v>
      </c>
      <c r="Q592" s="866">
        <f t="shared" si="583"/>
        <v>0</v>
      </c>
      <c r="R592" s="866">
        <f t="shared" si="584"/>
        <v>0</v>
      </c>
      <c r="S592" s="866">
        <f t="shared" si="584"/>
        <v>0</v>
      </c>
      <c r="T592" s="866">
        <f t="shared" si="584"/>
        <v>0</v>
      </c>
      <c r="U592" s="865">
        <f t="shared" si="585"/>
        <v>0</v>
      </c>
      <c r="V592" s="866">
        <f t="shared" si="585"/>
        <v>0</v>
      </c>
      <c r="W592" s="866">
        <f t="shared" si="586"/>
        <v>0</v>
      </c>
      <c r="X592" s="866">
        <f t="shared" si="586"/>
        <v>0</v>
      </c>
      <c r="Y592" s="866">
        <f t="shared" si="586"/>
        <v>0</v>
      </c>
      <c r="Z592" s="865">
        <f t="shared" si="587"/>
        <v>0</v>
      </c>
      <c r="AA592" s="866">
        <f t="shared" si="587"/>
        <v>0</v>
      </c>
      <c r="AB592" s="866">
        <f t="shared" si="588"/>
        <v>0</v>
      </c>
      <c r="AC592" s="866">
        <f t="shared" si="588"/>
        <v>0</v>
      </c>
      <c r="AD592" s="866">
        <f t="shared" si="588"/>
        <v>0</v>
      </c>
      <c r="AE592" s="865">
        <f t="shared" si="589"/>
        <v>0</v>
      </c>
      <c r="AF592" s="866">
        <f t="shared" si="589"/>
        <v>0</v>
      </c>
      <c r="AG592" s="866">
        <f t="shared" si="590"/>
        <v>0</v>
      </c>
      <c r="AH592" s="866">
        <f t="shared" si="590"/>
        <v>0</v>
      </c>
      <c r="AI592" s="866">
        <f t="shared" si="590"/>
        <v>0</v>
      </c>
      <c r="AJ592" s="865">
        <f t="shared" si="591"/>
        <v>0</v>
      </c>
      <c r="AK592" s="866">
        <f t="shared" si="591"/>
        <v>0</v>
      </c>
      <c r="AL592" s="866">
        <f t="shared" si="592"/>
        <v>0</v>
      </c>
      <c r="AM592" s="866">
        <f t="shared" si="592"/>
        <v>0</v>
      </c>
      <c r="AN592" s="866">
        <f t="shared" si="592"/>
        <v>0</v>
      </c>
      <c r="AO592" s="865">
        <f t="shared" si="593"/>
        <v>0</v>
      </c>
      <c r="AP592" s="866">
        <f t="shared" si="593"/>
        <v>0</v>
      </c>
      <c r="AQ592" s="866">
        <f t="shared" si="594"/>
        <v>0</v>
      </c>
      <c r="AR592" s="866">
        <f t="shared" si="595"/>
        <v>0</v>
      </c>
      <c r="AS592" s="866">
        <f t="shared" si="596"/>
        <v>0</v>
      </c>
      <c r="AT592" s="865">
        <f t="shared" si="597"/>
        <v>0</v>
      </c>
      <c r="AU592" s="866">
        <f t="shared" si="597"/>
        <v>0</v>
      </c>
      <c r="AV592" s="866">
        <f t="shared" si="598"/>
        <v>0</v>
      </c>
      <c r="AW592" s="878">
        <f t="shared" si="599"/>
        <v>0</v>
      </c>
      <c r="AX592" s="867"/>
      <c r="AY592" s="864">
        <f t="shared" si="600"/>
        <v>0</v>
      </c>
      <c r="AZ592" s="867"/>
      <c r="BA592" s="867"/>
      <c r="BB592" s="867"/>
      <c r="BC592" s="867"/>
      <c r="BD592" s="864">
        <f t="shared" si="601"/>
        <v>0</v>
      </c>
      <c r="BE592" s="864"/>
      <c r="BF592" s="864"/>
      <c r="BG592" s="864"/>
      <c r="BH592" s="821"/>
    </row>
    <row r="593" spans="1:60" customFormat="1" x14ac:dyDescent="0.25">
      <c r="A593" s="178" t="str">
        <f t="shared" si="578"/>
        <v>Proceeds from issuance of debt</v>
      </c>
      <c r="B593" s="822"/>
      <c r="C593" s="864">
        <f t="shared" si="579"/>
        <v>0</v>
      </c>
      <c r="D593" s="864">
        <f t="shared" si="579"/>
        <v>0</v>
      </c>
      <c r="E593" s="864">
        <f t="shared" si="579"/>
        <v>198.06</v>
      </c>
      <c r="F593" s="864">
        <f t="shared" si="579"/>
        <v>0</v>
      </c>
      <c r="G593" s="867">
        <f t="shared" si="579"/>
        <v>500</v>
      </c>
      <c r="H593" s="867">
        <f t="shared" si="580"/>
        <v>0</v>
      </c>
      <c r="I593" s="867">
        <f t="shared" si="580"/>
        <v>0</v>
      </c>
      <c r="J593" s="867">
        <f t="shared" si="580"/>
        <v>0</v>
      </c>
      <c r="K593" s="864">
        <f t="shared" si="581"/>
        <v>500</v>
      </c>
      <c r="L593" s="867">
        <f t="shared" si="581"/>
        <v>400</v>
      </c>
      <c r="M593" s="867">
        <f t="shared" si="582"/>
        <v>0</v>
      </c>
      <c r="N593" s="867">
        <f t="shared" si="582"/>
        <v>0</v>
      </c>
      <c r="O593" s="867">
        <f t="shared" si="582"/>
        <v>0</v>
      </c>
      <c r="P593" s="864">
        <f t="shared" si="583"/>
        <v>400</v>
      </c>
      <c r="Q593" s="867">
        <f t="shared" si="583"/>
        <v>1500</v>
      </c>
      <c r="R593" s="867">
        <f t="shared" si="584"/>
        <v>0</v>
      </c>
      <c r="S593" s="867">
        <f t="shared" si="584"/>
        <v>0</v>
      </c>
      <c r="T593" s="867">
        <f t="shared" si="584"/>
        <v>0</v>
      </c>
      <c r="U593" s="864">
        <f t="shared" si="585"/>
        <v>1500</v>
      </c>
      <c r="V593" s="867">
        <f t="shared" si="585"/>
        <v>0</v>
      </c>
      <c r="W593" s="867">
        <f t="shared" si="586"/>
        <v>0</v>
      </c>
      <c r="X593" s="867">
        <f t="shared" si="586"/>
        <v>0</v>
      </c>
      <c r="Y593" s="867">
        <f t="shared" si="586"/>
        <v>1000</v>
      </c>
      <c r="Z593" s="864">
        <f t="shared" si="587"/>
        <v>1000</v>
      </c>
      <c r="AA593" s="867">
        <f t="shared" si="587"/>
        <v>0</v>
      </c>
      <c r="AB593" s="867">
        <f t="shared" si="588"/>
        <v>1420.51</v>
      </c>
      <c r="AC593" s="867">
        <f t="shared" si="588"/>
        <v>0</v>
      </c>
      <c r="AD593" s="867">
        <f t="shared" si="588"/>
        <v>1600.0000000000002</v>
      </c>
      <c r="AE593" s="864">
        <f t="shared" si="589"/>
        <v>3020.51</v>
      </c>
      <c r="AF593" s="867">
        <f t="shared" si="589"/>
        <v>0</v>
      </c>
      <c r="AG593" s="867">
        <f t="shared" si="590"/>
        <v>1900</v>
      </c>
      <c r="AH593" s="867">
        <f t="shared" si="590"/>
        <v>0</v>
      </c>
      <c r="AI593" s="867">
        <f t="shared" si="590"/>
        <v>2061.8519999999999</v>
      </c>
      <c r="AJ593" s="864">
        <f t="shared" si="591"/>
        <v>3961.8519999999999</v>
      </c>
      <c r="AK593" s="867">
        <f t="shared" si="591"/>
        <v>0</v>
      </c>
      <c r="AL593" s="867">
        <f t="shared" si="592"/>
        <v>2243.1959999999999</v>
      </c>
      <c r="AM593" s="867">
        <f t="shared" si="592"/>
        <v>0</v>
      </c>
      <c r="AN593" s="867">
        <f t="shared" si="592"/>
        <v>2226.1099999999997</v>
      </c>
      <c r="AO593" s="864">
        <f t="shared" si="593"/>
        <v>4469.3059999999996</v>
      </c>
      <c r="AP593" s="867">
        <f t="shared" si="593"/>
        <v>0</v>
      </c>
      <c r="AQ593" s="867">
        <f t="shared" si="594"/>
        <v>1009.4640000000001</v>
      </c>
      <c r="AR593" s="867">
        <f t="shared" si="595"/>
        <v>0</v>
      </c>
      <c r="AS593" s="867">
        <f t="shared" si="596"/>
        <v>0</v>
      </c>
      <c r="AT593" s="864">
        <f t="shared" si="597"/>
        <v>1009.4640000000001</v>
      </c>
      <c r="AU593" s="867">
        <f t="shared" si="597"/>
        <v>0</v>
      </c>
      <c r="AV593" s="867">
        <f t="shared" si="598"/>
        <v>0</v>
      </c>
      <c r="AW593" s="868">
        <f t="shared" si="599"/>
        <v>0</v>
      </c>
      <c r="AX593" s="867">
        <f>AX440</f>
        <v>0</v>
      </c>
      <c r="AY593" s="864">
        <f t="shared" si="600"/>
        <v>0</v>
      </c>
      <c r="AZ593" s="867">
        <f>AZ440</f>
        <v>0</v>
      </c>
      <c r="BA593" s="867">
        <f>BA440</f>
        <v>0</v>
      </c>
      <c r="BB593" s="867">
        <f>BB440</f>
        <v>0</v>
      </c>
      <c r="BC593" s="867">
        <f>BC440</f>
        <v>0</v>
      </c>
      <c r="BD593" s="864">
        <f t="shared" si="601"/>
        <v>0</v>
      </c>
      <c r="BE593" s="864">
        <f>BE440</f>
        <v>0</v>
      </c>
      <c r="BF593" s="864">
        <f>BF440</f>
        <v>0</v>
      </c>
      <c r="BG593" s="864">
        <f>BG440</f>
        <v>0</v>
      </c>
      <c r="BH593" s="821"/>
    </row>
    <row r="594" spans="1:60" customFormat="1" x14ac:dyDescent="0.25">
      <c r="A594" s="367" t="str">
        <f t="shared" si="578"/>
        <v>Issuance costs</v>
      </c>
      <c r="B594" s="822"/>
      <c r="C594" s="865">
        <f t="shared" si="579"/>
        <v>0</v>
      </c>
      <c r="D594" s="865">
        <f t="shared" si="579"/>
        <v>0</v>
      </c>
      <c r="E594" s="865">
        <f t="shared" si="579"/>
        <v>0</v>
      </c>
      <c r="F594" s="865">
        <f t="shared" si="579"/>
        <v>-0.75900000000000001</v>
      </c>
      <c r="G594" s="866">
        <f t="shared" si="579"/>
        <v>-9.4139999999999997</v>
      </c>
      <c r="H594" s="866">
        <f t="shared" si="580"/>
        <v>0</v>
      </c>
      <c r="I594" s="866">
        <f t="shared" si="580"/>
        <v>0</v>
      </c>
      <c r="J594" s="866">
        <f t="shared" si="580"/>
        <v>0</v>
      </c>
      <c r="K594" s="865">
        <f t="shared" si="581"/>
        <v>-9.4139999999999997</v>
      </c>
      <c r="L594" s="866">
        <f t="shared" si="581"/>
        <v>-6.7270000000000003</v>
      </c>
      <c r="M594" s="866">
        <f t="shared" si="582"/>
        <v>-0.35299999999999976</v>
      </c>
      <c r="N594" s="866">
        <f t="shared" si="582"/>
        <v>0</v>
      </c>
      <c r="O594" s="866">
        <f t="shared" si="582"/>
        <v>0</v>
      </c>
      <c r="P594" s="865">
        <f t="shared" si="583"/>
        <v>-7.08</v>
      </c>
      <c r="Q594" s="866">
        <f t="shared" si="583"/>
        <v>-17.231999999999999</v>
      </c>
      <c r="R594" s="866">
        <f t="shared" si="584"/>
        <v>-0.39700000000000202</v>
      </c>
      <c r="S594" s="866">
        <f t="shared" si="584"/>
        <v>0</v>
      </c>
      <c r="T594" s="866">
        <f t="shared" si="584"/>
        <v>0</v>
      </c>
      <c r="U594" s="865">
        <f t="shared" si="585"/>
        <v>-17.629000000000001</v>
      </c>
      <c r="V594" s="866">
        <f t="shared" si="585"/>
        <v>0</v>
      </c>
      <c r="W594" s="866">
        <f t="shared" si="586"/>
        <v>0</v>
      </c>
      <c r="X594" s="866">
        <f t="shared" si="586"/>
        <v>0</v>
      </c>
      <c r="Y594" s="866">
        <f t="shared" si="586"/>
        <v>-10.7</v>
      </c>
      <c r="Z594" s="865">
        <f t="shared" si="587"/>
        <v>-10.7</v>
      </c>
      <c r="AA594" s="866">
        <f t="shared" si="587"/>
        <v>0</v>
      </c>
      <c r="AB594" s="866">
        <f t="shared" si="588"/>
        <v>0</v>
      </c>
      <c r="AC594" s="866">
        <f t="shared" si="588"/>
        <v>-15.324999999999999</v>
      </c>
      <c r="AD594" s="866">
        <f t="shared" si="588"/>
        <v>-16.827999999999999</v>
      </c>
      <c r="AE594" s="865">
        <f t="shared" si="589"/>
        <v>-32.152999999999999</v>
      </c>
      <c r="AF594" s="866">
        <f t="shared" si="589"/>
        <v>0</v>
      </c>
      <c r="AG594" s="866">
        <f t="shared" si="590"/>
        <v>0</v>
      </c>
      <c r="AH594" s="866">
        <f t="shared" si="590"/>
        <v>0</v>
      </c>
      <c r="AI594" s="866">
        <f t="shared" si="590"/>
        <v>0</v>
      </c>
      <c r="AJ594" s="865">
        <f t="shared" si="591"/>
        <v>0</v>
      </c>
      <c r="AK594" s="866">
        <f t="shared" si="591"/>
        <v>0</v>
      </c>
      <c r="AL594" s="866">
        <f t="shared" si="592"/>
        <v>0</v>
      </c>
      <c r="AM594" s="866">
        <f t="shared" si="592"/>
        <v>0</v>
      </c>
      <c r="AN594" s="866">
        <f t="shared" si="592"/>
        <v>0</v>
      </c>
      <c r="AO594" s="865">
        <f t="shared" si="593"/>
        <v>0</v>
      </c>
      <c r="AP594" s="866">
        <f t="shared" si="593"/>
        <v>0</v>
      </c>
      <c r="AQ594" s="866">
        <f t="shared" si="594"/>
        <v>0</v>
      </c>
      <c r="AR594" s="866">
        <f t="shared" si="595"/>
        <v>0</v>
      </c>
      <c r="AS594" s="866">
        <f t="shared" si="596"/>
        <v>0</v>
      </c>
      <c r="AT594" s="865">
        <f t="shared" si="597"/>
        <v>0</v>
      </c>
      <c r="AU594" s="866">
        <f t="shared" si="597"/>
        <v>0</v>
      </c>
      <c r="AV594" s="866">
        <f t="shared" si="598"/>
        <v>0</v>
      </c>
      <c r="AW594" s="878">
        <f t="shared" si="599"/>
        <v>0</v>
      </c>
      <c r="AX594" s="867"/>
      <c r="AY594" s="864">
        <f t="shared" si="600"/>
        <v>0</v>
      </c>
      <c r="AZ594" s="867"/>
      <c r="BA594" s="867"/>
      <c r="BB594" s="867"/>
      <c r="BC594" s="867"/>
      <c r="BD594" s="864">
        <f t="shared" si="601"/>
        <v>0</v>
      </c>
      <c r="BE594" s="864"/>
      <c r="BF594" s="864"/>
      <c r="BG594" s="864"/>
      <c r="BH594" s="821"/>
    </row>
    <row r="595" spans="1:60" customFormat="1" x14ac:dyDescent="0.25">
      <c r="A595" s="367" t="str">
        <f t="shared" si="578"/>
        <v>Debt issuance costs</v>
      </c>
      <c r="B595" s="822"/>
      <c r="C595" s="865">
        <f t="shared" si="579"/>
        <v>-324.33499999999998</v>
      </c>
      <c r="D595" s="865">
        <f t="shared" si="579"/>
        <v>-210.25899999999999</v>
      </c>
      <c r="E595" s="865">
        <f t="shared" si="579"/>
        <v>-199.666</v>
      </c>
      <c r="F595" s="865">
        <f t="shared" si="579"/>
        <v>0</v>
      </c>
      <c r="G595" s="866">
        <f t="shared" si="579"/>
        <v>0</v>
      </c>
      <c r="H595" s="866">
        <f t="shared" si="580"/>
        <v>0</v>
      </c>
      <c r="I595" s="866">
        <f t="shared" si="580"/>
        <v>0</v>
      </c>
      <c r="J595" s="866">
        <f t="shared" si="580"/>
        <v>0</v>
      </c>
      <c r="K595" s="865">
        <f t="shared" si="581"/>
        <v>0</v>
      </c>
      <c r="L595" s="866">
        <f t="shared" si="581"/>
        <v>0</v>
      </c>
      <c r="M595" s="866">
        <f t="shared" si="582"/>
        <v>0</v>
      </c>
      <c r="N595" s="866">
        <f t="shared" si="582"/>
        <v>0</v>
      </c>
      <c r="O595" s="866">
        <f t="shared" si="582"/>
        <v>0</v>
      </c>
      <c r="P595" s="865">
        <f t="shared" si="583"/>
        <v>0</v>
      </c>
      <c r="Q595" s="866">
        <f t="shared" si="583"/>
        <v>0</v>
      </c>
      <c r="R595" s="866">
        <f t="shared" si="584"/>
        <v>0</v>
      </c>
      <c r="S595" s="866">
        <f t="shared" si="584"/>
        <v>0</v>
      </c>
      <c r="T595" s="866">
        <f t="shared" si="584"/>
        <v>0</v>
      </c>
      <c r="U595" s="865">
        <f t="shared" si="585"/>
        <v>0</v>
      </c>
      <c r="V595" s="866">
        <f t="shared" si="585"/>
        <v>0</v>
      </c>
      <c r="W595" s="866">
        <f t="shared" si="586"/>
        <v>0</v>
      </c>
      <c r="X595" s="866">
        <f t="shared" si="586"/>
        <v>0</v>
      </c>
      <c r="Y595" s="866">
        <f t="shared" si="586"/>
        <v>0</v>
      </c>
      <c r="Z595" s="865">
        <f t="shared" si="587"/>
        <v>0</v>
      </c>
      <c r="AA595" s="866">
        <f t="shared" si="587"/>
        <v>0</v>
      </c>
      <c r="AB595" s="866">
        <f t="shared" si="588"/>
        <v>-15.013</v>
      </c>
      <c r="AC595" s="866">
        <f t="shared" si="588"/>
        <v>15.013</v>
      </c>
      <c r="AD595" s="866">
        <f t="shared" si="588"/>
        <v>0</v>
      </c>
      <c r="AE595" s="865">
        <f t="shared" si="589"/>
        <v>0</v>
      </c>
      <c r="AF595" s="866">
        <f t="shared" si="589"/>
        <v>0</v>
      </c>
      <c r="AG595" s="866">
        <f t="shared" si="590"/>
        <v>-16.992000000000001</v>
      </c>
      <c r="AH595" s="866">
        <f t="shared" si="590"/>
        <v>0</v>
      </c>
      <c r="AI595" s="866">
        <f t="shared" si="590"/>
        <v>-18.879000000000001</v>
      </c>
      <c r="AJ595" s="865">
        <f t="shared" si="591"/>
        <v>-35.871000000000002</v>
      </c>
      <c r="AK595" s="866">
        <f t="shared" si="591"/>
        <v>0</v>
      </c>
      <c r="AL595" s="866">
        <f t="shared" si="592"/>
        <v>-18.192</v>
      </c>
      <c r="AM595" s="866">
        <f t="shared" si="592"/>
        <v>0</v>
      </c>
      <c r="AN595" s="866">
        <f t="shared" si="592"/>
        <v>-17.942</v>
      </c>
      <c r="AO595" s="865">
        <f t="shared" si="593"/>
        <v>-36.134</v>
      </c>
      <c r="AP595" s="866">
        <f t="shared" si="593"/>
        <v>0</v>
      </c>
      <c r="AQ595" s="866">
        <f t="shared" si="594"/>
        <v>-7.5590000000000002</v>
      </c>
      <c r="AR595" s="866">
        <f t="shared" si="595"/>
        <v>0</v>
      </c>
      <c r="AS595" s="866">
        <f t="shared" si="596"/>
        <v>0</v>
      </c>
      <c r="AT595" s="865">
        <f t="shared" si="597"/>
        <v>-7.5590000000000002</v>
      </c>
      <c r="AU595" s="866">
        <f t="shared" si="597"/>
        <v>0</v>
      </c>
      <c r="AV595" s="866">
        <f t="shared" si="598"/>
        <v>0</v>
      </c>
      <c r="AW595" s="878">
        <f t="shared" si="599"/>
        <v>0</v>
      </c>
      <c r="AX595" s="867"/>
      <c r="AY595" s="864">
        <f t="shared" si="600"/>
        <v>0</v>
      </c>
      <c r="AZ595" s="867"/>
      <c r="BA595" s="867"/>
      <c r="BB595" s="867"/>
      <c r="BC595" s="867"/>
      <c r="BD595" s="864">
        <f t="shared" si="601"/>
        <v>0</v>
      </c>
      <c r="BE595" s="864"/>
      <c r="BF595" s="864"/>
      <c r="BG595" s="864"/>
      <c r="BH595" s="821"/>
    </row>
    <row r="596" spans="1:60" customFormat="1" x14ac:dyDescent="0.25">
      <c r="A596" s="367" t="str">
        <f t="shared" si="578"/>
        <v>Redemption of debt</v>
      </c>
      <c r="B596" s="822"/>
      <c r="C596" s="865">
        <f t="shared" si="579"/>
        <v>0</v>
      </c>
      <c r="D596" s="865">
        <f t="shared" si="579"/>
        <v>0</v>
      </c>
      <c r="E596" s="865">
        <f t="shared" si="579"/>
        <v>0</v>
      </c>
      <c r="F596" s="865">
        <f t="shared" si="579"/>
        <v>0</v>
      </c>
      <c r="G596" s="866">
        <f t="shared" si="579"/>
        <v>-219.36199999999999</v>
      </c>
      <c r="H596" s="866">
        <f t="shared" si="580"/>
        <v>0</v>
      </c>
      <c r="I596" s="866">
        <f t="shared" si="580"/>
        <v>0</v>
      </c>
      <c r="J596" s="866">
        <f t="shared" si="580"/>
        <v>0</v>
      </c>
      <c r="K596" s="865">
        <f t="shared" si="581"/>
        <v>-219.36199999999999</v>
      </c>
      <c r="L596" s="866">
        <f t="shared" si="581"/>
        <v>0</v>
      </c>
      <c r="M596" s="866">
        <f t="shared" si="582"/>
        <v>0</v>
      </c>
      <c r="N596" s="866">
        <f t="shared" si="582"/>
        <v>0</v>
      </c>
      <c r="O596" s="866">
        <f t="shared" si="582"/>
        <v>0</v>
      </c>
      <c r="P596" s="865">
        <f t="shared" si="583"/>
        <v>0</v>
      </c>
      <c r="Q596" s="866">
        <f t="shared" si="583"/>
        <v>0</v>
      </c>
      <c r="R596" s="866">
        <f t="shared" si="584"/>
        <v>0</v>
      </c>
      <c r="S596" s="866">
        <f t="shared" si="584"/>
        <v>0</v>
      </c>
      <c r="T596" s="866">
        <f t="shared" si="584"/>
        <v>0</v>
      </c>
      <c r="U596" s="865">
        <f t="shared" si="585"/>
        <v>0</v>
      </c>
      <c r="V596" s="866">
        <f t="shared" si="585"/>
        <v>0</v>
      </c>
      <c r="W596" s="866">
        <f t="shared" si="586"/>
        <v>0</v>
      </c>
      <c r="X596" s="866">
        <f t="shared" si="586"/>
        <v>0</v>
      </c>
      <c r="Y596" s="866">
        <f t="shared" si="586"/>
        <v>0</v>
      </c>
      <c r="Z596" s="865">
        <f t="shared" si="587"/>
        <v>0</v>
      </c>
      <c r="AA596" s="866">
        <f t="shared" si="587"/>
        <v>0</v>
      </c>
      <c r="AB596" s="866">
        <f t="shared" si="588"/>
        <v>0</v>
      </c>
      <c r="AC596" s="866">
        <f t="shared" si="588"/>
        <v>0</v>
      </c>
      <c r="AD596" s="866">
        <f t="shared" si="588"/>
        <v>0</v>
      </c>
      <c r="AE596" s="865">
        <f t="shared" si="589"/>
        <v>0</v>
      </c>
      <c r="AF596" s="866">
        <f t="shared" si="589"/>
        <v>0</v>
      </c>
      <c r="AG596" s="866">
        <f t="shared" si="590"/>
        <v>0</v>
      </c>
      <c r="AH596" s="866">
        <f t="shared" si="590"/>
        <v>0</v>
      </c>
      <c r="AI596" s="866">
        <f t="shared" si="590"/>
        <v>0</v>
      </c>
      <c r="AJ596" s="865">
        <f t="shared" si="591"/>
        <v>0</v>
      </c>
      <c r="AK596" s="866">
        <f t="shared" si="591"/>
        <v>0</v>
      </c>
      <c r="AL596" s="866">
        <f t="shared" si="592"/>
        <v>0</v>
      </c>
      <c r="AM596" s="866">
        <f t="shared" si="592"/>
        <v>0</v>
      </c>
      <c r="AN596" s="866">
        <f t="shared" si="592"/>
        <v>0</v>
      </c>
      <c r="AO596" s="865">
        <f t="shared" si="593"/>
        <v>0</v>
      </c>
      <c r="AP596" s="866">
        <f t="shared" si="593"/>
        <v>0</v>
      </c>
      <c r="AQ596" s="866">
        <f t="shared" si="594"/>
        <v>0</v>
      </c>
      <c r="AR596" s="866">
        <f t="shared" si="595"/>
        <v>0</v>
      </c>
      <c r="AS596" s="866">
        <f t="shared" si="596"/>
        <v>0</v>
      </c>
      <c r="AT596" s="865">
        <f t="shared" si="597"/>
        <v>0</v>
      </c>
      <c r="AU596" s="866">
        <f t="shared" si="597"/>
        <v>-500</v>
      </c>
      <c r="AV596" s="866">
        <f t="shared" si="598"/>
        <v>0</v>
      </c>
      <c r="AW596" s="878">
        <f t="shared" si="599"/>
        <v>0</v>
      </c>
      <c r="AX596" s="867"/>
      <c r="AY596" s="864">
        <f t="shared" si="600"/>
        <v>-500</v>
      </c>
      <c r="AZ596" s="867"/>
      <c r="BA596" s="867"/>
      <c r="BB596" s="867"/>
      <c r="BC596" s="867"/>
      <c r="BD596" s="864">
        <f t="shared" si="601"/>
        <v>0</v>
      </c>
      <c r="BE596" s="864"/>
      <c r="BF596" s="864"/>
      <c r="BG596" s="864"/>
      <c r="BH596" s="821"/>
    </row>
    <row r="597" spans="1:60" customFormat="1" x14ac:dyDescent="0.25">
      <c r="A597" s="367" t="str">
        <f t="shared" si="578"/>
        <v>Excess tax benefits from stock-based compensation</v>
      </c>
      <c r="B597" s="822"/>
      <c r="C597" s="865">
        <f t="shared" si="579"/>
        <v>12.683</v>
      </c>
      <c r="D597" s="865">
        <f t="shared" si="579"/>
        <v>62.213999999999999</v>
      </c>
      <c r="E597" s="865">
        <f t="shared" si="579"/>
        <v>45.783999999999999</v>
      </c>
      <c r="F597" s="865">
        <f t="shared" si="579"/>
        <v>4.5430000000000001</v>
      </c>
      <c r="G597" s="866">
        <f t="shared" si="579"/>
        <v>11.615</v>
      </c>
      <c r="H597" s="866">
        <f t="shared" si="580"/>
        <v>20.368000000000002</v>
      </c>
      <c r="I597" s="866">
        <f t="shared" si="580"/>
        <v>20.492000000000001</v>
      </c>
      <c r="J597" s="866">
        <f t="shared" si="580"/>
        <v>29.187999999999995</v>
      </c>
      <c r="K597" s="865">
        <f t="shared" si="581"/>
        <v>81.662999999999997</v>
      </c>
      <c r="L597" s="866">
        <f t="shared" si="581"/>
        <v>32.731999999999999</v>
      </c>
      <c r="M597" s="866">
        <f t="shared" si="582"/>
        <v>14.628</v>
      </c>
      <c r="N597" s="866">
        <f t="shared" si="582"/>
        <v>21.060000000000002</v>
      </c>
      <c r="O597" s="866">
        <f t="shared" si="582"/>
        <v>20.920999999999992</v>
      </c>
      <c r="P597" s="865">
        <f t="shared" si="583"/>
        <v>89.340999999999994</v>
      </c>
      <c r="Q597" s="866">
        <f t="shared" si="583"/>
        <v>29.001000000000001</v>
      </c>
      <c r="R597" s="866">
        <f t="shared" si="584"/>
        <v>39.426999999999992</v>
      </c>
      <c r="S597" s="866">
        <f t="shared" si="584"/>
        <v>37.725999999999999</v>
      </c>
      <c r="T597" s="866">
        <f t="shared" si="584"/>
        <v>-25.682999999999993</v>
      </c>
      <c r="U597" s="865">
        <f t="shared" si="585"/>
        <v>80.471000000000004</v>
      </c>
      <c r="V597" s="866">
        <f t="shared" si="585"/>
        <v>11.316000000000001</v>
      </c>
      <c r="W597" s="866">
        <f t="shared" si="586"/>
        <v>13.322999999999999</v>
      </c>
      <c r="X597" s="866">
        <f t="shared" si="586"/>
        <v>12.762000000000004</v>
      </c>
      <c r="Y597" s="866">
        <f t="shared" si="586"/>
        <v>27.719999999999992</v>
      </c>
      <c r="Z597" s="865">
        <f t="shared" si="587"/>
        <v>65.120999999999995</v>
      </c>
      <c r="AA597" s="866">
        <f t="shared" si="587"/>
        <v>0</v>
      </c>
      <c r="AB597" s="866">
        <f t="shared" si="588"/>
        <v>0</v>
      </c>
      <c r="AC597" s="866">
        <f t="shared" si="588"/>
        <v>0</v>
      </c>
      <c r="AD597" s="866">
        <f t="shared" si="588"/>
        <v>0</v>
      </c>
      <c r="AE597" s="865">
        <f t="shared" si="589"/>
        <v>0</v>
      </c>
      <c r="AF597" s="866">
        <f t="shared" si="589"/>
        <v>0</v>
      </c>
      <c r="AG597" s="866">
        <f t="shared" si="590"/>
        <v>0</v>
      </c>
      <c r="AH597" s="866">
        <f t="shared" si="590"/>
        <v>0</v>
      </c>
      <c r="AI597" s="866">
        <f t="shared" si="590"/>
        <v>0</v>
      </c>
      <c r="AJ597" s="865">
        <f t="shared" si="591"/>
        <v>0</v>
      </c>
      <c r="AK597" s="866">
        <f t="shared" si="591"/>
        <v>0</v>
      </c>
      <c r="AL597" s="866">
        <f t="shared" si="592"/>
        <v>0</v>
      </c>
      <c r="AM597" s="866">
        <f t="shared" si="592"/>
        <v>0</v>
      </c>
      <c r="AN597" s="866">
        <f t="shared" si="592"/>
        <v>0</v>
      </c>
      <c r="AO597" s="865">
        <f t="shared" si="593"/>
        <v>0</v>
      </c>
      <c r="AP597" s="866">
        <f t="shared" si="593"/>
        <v>0</v>
      </c>
      <c r="AQ597" s="866">
        <f t="shared" si="594"/>
        <v>0</v>
      </c>
      <c r="AR597" s="866">
        <f t="shared" si="595"/>
        <v>0</v>
      </c>
      <c r="AS597" s="866">
        <f t="shared" si="596"/>
        <v>0</v>
      </c>
      <c r="AT597" s="865">
        <f t="shared" si="597"/>
        <v>0</v>
      </c>
      <c r="AU597" s="866">
        <f t="shared" si="597"/>
        <v>0</v>
      </c>
      <c r="AV597" s="866">
        <f t="shared" si="598"/>
        <v>0</v>
      </c>
      <c r="AW597" s="878">
        <f t="shared" si="599"/>
        <v>0</v>
      </c>
      <c r="AX597" s="867"/>
      <c r="AY597" s="864">
        <f t="shared" si="600"/>
        <v>0</v>
      </c>
      <c r="AZ597" s="867"/>
      <c r="BA597" s="867"/>
      <c r="BB597" s="867"/>
      <c r="BC597" s="867"/>
      <c r="BD597" s="864">
        <f t="shared" si="601"/>
        <v>0</v>
      </c>
      <c r="BE597" s="864"/>
      <c r="BF597" s="864"/>
      <c r="BG597" s="864"/>
      <c r="BH597" s="821"/>
    </row>
    <row r="598" spans="1:60" customFormat="1" x14ac:dyDescent="0.25">
      <c r="A598" s="367" t="str">
        <f t="shared" si="578"/>
        <v>Borrowings on line of credit, net of issuance costs</v>
      </c>
      <c r="B598" s="822"/>
      <c r="C598" s="865">
        <f t="shared" si="579"/>
        <v>18.978000000000002</v>
      </c>
      <c r="D598" s="865">
        <f t="shared" si="579"/>
        <v>0</v>
      </c>
      <c r="E598" s="865">
        <f t="shared" si="579"/>
        <v>0</v>
      </c>
      <c r="F598" s="865">
        <f t="shared" si="579"/>
        <v>0</v>
      </c>
      <c r="G598" s="866">
        <f t="shared" si="579"/>
        <v>0</v>
      </c>
      <c r="H598" s="866">
        <f t="shared" si="580"/>
        <v>0</v>
      </c>
      <c r="I598" s="866">
        <f t="shared" si="580"/>
        <v>0</v>
      </c>
      <c r="J598" s="866">
        <f t="shared" si="580"/>
        <v>0</v>
      </c>
      <c r="K598" s="865">
        <f t="shared" si="581"/>
        <v>0</v>
      </c>
      <c r="L598" s="866">
        <f t="shared" si="581"/>
        <v>0</v>
      </c>
      <c r="M598" s="866">
        <f t="shared" si="582"/>
        <v>0</v>
      </c>
      <c r="N598" s="866">
        <f t="shared" si="582"/>
        <v>0</v>
      </c>
      <c r="O598" s="866">
        <f t="shared" si="582"/>
        <v>0</v>
      </c>
      <c r="P598" s="865">
        <f t="shared" si="583"/>
        <v>0</v>
      </c>
      <c r="Q598" s="866">
        <f t="shared" si="583"/>
        <v>0</v>
      </c>
      <c r="R598" s="866">
        <f t="shared" si="584"/>
        <v>0</v>
      </c>
      <c r="S598" s="866">
        <f t="shared" si="584"/>
        <v>0</v>
      </c>
      <c r="T598" s="866">
        <f t="shared" si="584"/>
        <v>0</v>
      </c>
      <c r="U598" s="865">
        <f t="shared" si="585"/>
        <v>0</v>
      </c>
      <c r="V598" s="866">
        <f t="shared" si="585"/>
        <v>0</v>
      </c>
      <c r="W598" s="866">
        <f t="shared" si="586"/>
        <v>0</v>
      </c>
      <c r="X598" s="866">
        <f t="shared" si="586"/>
        <v>0</v>
      </c>
      <c r="Y598" s="866">
        <f t="shared" si="586"/>
        <v>0</v>
      </c>
      <c r="Z598" s="865">
        <f t="shared" si="587"/>
        <v>0</v>
      </c>
      <c r="AA598" s="866">
        <f t="shared" si="587"/>
        <v>0</v>
      </c>
      <c r="AB598" s="866">
        <f t="shared" si="588"/>
        <v>0</v>
      </c>
      <c r="AC598" s="866">
        <f t="shared" si="588"/>
        <v>0</v>
      </c>
      <c r="AD598" s="866">
        <f t="shared" si="588"/>
        <v>0</v>
      </c>
      <c r="AE598" s="865">
        <f t="shared" si="589"/>
        <v>0</v>
      </c>
      <c r="AF598" s="866">
        <f t="shared" si="589"/>
        <v>0</v>
      </c>
      <c r="AG598" s="866">
        <f t="shared" si="590"/>
        <v>0</v>
      </c>
      <c r="AH598" s="866">
        <f t="shared" si="590"/>
        <v>0</v>
      </c>
      <c r="AI598" s="866">
        <f t="shared" si="590"/>
        <v>0</v>
      </c>
      <c r="AJ598" s="865">
        <f t="shared" si="591"/>
        <v>0</v>
      </c>
      <c r="AK598" s="866">
        <f t="shared" si="591"/>
        <v>0</v>
      </c>
      <c r="AL598" s="866">
        <f t="shared" si="592"/>
        <v>0</v>
      </c>
      <c r="AM598" s="866">
        <f t="shared" si="592"/>
        <v>0</v>
      </c>
      <c r="AN598" s="866">
        <f t="shared" si="592"/>
        <v>0</v>
      </c>
      <c r="AO598" s="865">
        <f t="shared" si="593"/>
        <v>0</v>
      </c>
      <c r="AP598" s="866">
        <f t="shared" si="593"/>
        <v>0</v>
      </c>
      <c r="AQ598" s="866">
        <f t="shared" si="594"/>
        <v>0</v>
      </c>
      <c r="AR598" s="866">
        <f t="shared" si="595"/>
        <v>0</v>
      </c>
      <c r="AS598" s="866">
        <f t="shared" si="596"/>
        <v>0</v>
      </c>
      <c r="AT598" s="865">
        <f t="shared" si="597"/>
        <v>0</v>
      </c>
      <c r="AU598" s="866">
        <f t="shared" si="597"/>
        <v>0</v>
      </c>
      <c r="AV598" s="866">
        <f t="shared" si="598"/>
        <v>0</v>
      </c>
      <c r="AW598" s="878">
        <f t="shared" si="599"/>
        <v>0</v>
      </c>
      <c r="AX598" s="867"/>
      <c r="AY598" s="864">
        <f t="shared" si="600"/>
        <v>0</v>
      </c>
      <c r="AZ598" s="867"/>
      <c r="BA598" s="867"/>
      <c r="BB598" s="867"/>
      <c r="BC598" s="867"/>
      <c r="BD598" s="864">
        <f t="shared" si="601"/>
        <v>0</v>
      </c>
      <c r="BE598" s="864"/>
      <c r="BF598" s="864"/>
      <c r="BG598" s="864"/>
      <c r="BH598" s="821"/>
    </row>
    <row r="599" spans="1:60" customFormat="1" x14ac:dyDescent="0.25">
      <c r="A599" s="367" t="str">
        <f t="shared" si="578"/>
        <v>Payments on line of credit</v>
      </c>
      <c r="B599" s="822"/>
      <c r="C599" s="865">
        <f t="shared" si="579"/>
        <v>-20</v>
      </c>
      <c r="D599" s="865">
        <f t="shared" si="579"/>
        <v>0</v>
      </c>
      <c r="E599" s="865">
        <f t="shared" si="579"/>
        <v>0</v>
      </c>
      <c r="F599" s="865">
        <f t="shared" si="579"/>
        <v>0</v>
      </c>
      <c r="G599" s="866">
        <f t="shared" si="579"/>
        <v>0</v>
      </c>
      <c r="H599" s="866">
        <f t="shared" si="580"/>
        <v>0</v>
      </c>
      <c r="I599" s="866">
        <f t="shared" si="580"/>
        <v>0</v>
      </c>
      <c r="J599" s="866">
        <f t="shared" si="580"/>
        <v>0</v>
      </c>
      <c r="K599" s="865">
        <f t="shared" si="581"/>
        <v>0</v>
      </c>
      <c r="L599" s="866">
        <f t="shared" si="581"/>
        <v>0</v>
      </c>
      <c r="M599" s="866">
        <f t="shared" si="582"/>
        <v>0</v>
      </c>
      <c r="N599" s="866">
        <f t="shared" si="582"/>
        <v>0</v>
      </c>
      <c r="O599" s="866">
        <f t="shared" si="582"/>
        <v>0</v>
      </c>
      <c r="P599" s="865">
        <f t="shared" si="583"/>
        <v>0</v>
      </c>
      <c r="Q599" s="866">
        <f t="shared" si="583"/>
        <v>0</v>
      </c>
      <c r="R599" s="866">
        <f t="shared" si="584"/>
        <v>0</v>
      </c>
      <c r="S599" s="866">
        <f t="shared" si="584"/>
        <v>0</v>
      </c>
      <c r="T599" s="866">
        <f t="shared" si="584"/>
        <v>0</v>
      </c>
      <c r="U599" s="865">
        <f t="shared" si="585"/>
        <v>0</v>
      </c>
      <c r="V599" s="866">
        <f t="shared" si="585"/>
        <v>0</v>
      </c>
      <c r="W599" s="866">
        <f t="shared" si="586"/>
        <v>0</v>
      </c>
      <c r="X599" s="866">
        <f t="shared" si="586"/>
        <v>0</v>
      </c>
      <c r="Y599" s="866">
        <f t="shared" si="586"/>
        <v>0</v>
      </c>
      <c r="Z599" s="865">
        <f t="shared" si="587"/>
        <v>0</v>
      </c>
      <c r="AA599" s="866">
        <f t="shared" si="587"/>
        <v>0</v>
      </c>
      <c r="AB599" s="866">
        <f t="shared" si="588"/>
        <v>0</v>
      </c>
      <c r="AC599" s="866">
        <f t="shared" si="588"/>
        <v>0</v>
      </c>
      <c r="AD599" s="866">
        <f t="shared" si="588"/>
        <v>0</v>
      </c>
      <c r="AE599" s="865">
        <f t="shared" si="589"/>
        <v>0</v>
      </c>
      <c r="AF599" s="866">
        <f t="shared" si="589"/>
        <v>0</v>
      </c>
      <c r="AG599" s="866">
        <f t="shared" si="590"/>
        <v>0</v>
      </c>
      <c r="AH599" s="866">
        <f t="shared" si="590"/>
        <v>0</v>
      </c>
      <c r="AI599" s="866">
        <f t="shared" si="590"/>
        <v>0</v>
      </c>
      <c r="AJ599" s="865">
        <f t="shared" si="591"/>
        <v>0</v>
      </c>
      <c r="AK599" s="866">
        <f t="shared" si="591"/>
        <v>0</v>
      </c>
      <c r="AL599" s="866">
        <f t="shared" si="592"/>
        <v>0</v>
      </c>
      <c r="AM599" s="866">
        <f t="shared" si="592"/>
        <v>0</v>
      </c>
      <c r="AN599" s="866">
        <f t="shared" si="592"/>
        <v>0</v>
      </c>
      <c r="AO599" s="865">
        <f t="shared" si="593"/>
        <v>0</v>
      </c>
      <c r="AP599" s="866">
        <f t="shared" si="593"/>
        <v>0</v>
      </c>
      <c r="AQ599" s="866">
        <f t="shared" si="594"/>
        <v>0</v>
      </c>
      <c r="AR599" s="866">
        <f t="shared" si="595"/>
        <v>0</v>
      </c>
      <c r="AS599" s="866">
        <f t="shared" si="596"/>
        <v>0</v>
      </c>
      <c r="AT599" s="865">
        <f t="shared" si="597"/>
        <v>0</v>
      </c>
      <c r="AU599" s="866">
        <f t="shared" si="597"/>
        <v>0</v>
      </c>
      <c r="AV599" s="866">
        <f t="shared" si="598"/>
        <v>0</v>
      </c>
      <c r="AW599" s="878">
        <f t="shared" si="599"/>
        <v>0</v>
      </c>
      <c r="AX599" s="867"/>
      <c r="AY599" s="864">
        <f t="shared" si="600"/>
        <v>0</v>
      </c>
      <c r="AZ599" s="867"/>
      <c r="BA599" s="867"/>
      <c r="BB599" s="867"/>
      <c r="BC599" s="867"/>
      <c r="BD599" s="864">
        <f t="shared" si="601"/>
        <v>0</v>
      </c>
      <c r="BE599" s="864"/>
      <c r="BF599" s="864"/>
      <c r="BG599" s="864"/>
      <c r="BH599" s="821"/>
    </row>
    <row r="600" spans="1:60" s="57" customFormat="1" x14ac:dyDescent="0.25">
      <c r="A600" s="178" t="str">
        <f t="shared" si="578"/>
        <v>Repurchases of common stock</v>
      </c>
      <c r="B600" s="822"/>
      <c r="C600" s="864">
        <f t="shared" si="579"/>
        <v>0</v>
      </c>
      <c r="D600" s="864">
        <f t="shared" si="579"/>
        <v>0</v>
      </c>
      <c r="E600" s="864">
        <f t="shared" si="579"/>
        <v>0</v>
      </c>
      <c r="F600" s="864">
        <f t="shared" si="579"/>
        <v>0</v>
      </c>
      <c r="G600" s="867">
        <f t="shared" si="579"/>
        <v>0</v>
      </c>
      <c r="H600" s="867">
        <f t="shared" si="580"/>
        <v>0</v>
      </c>
      <c r="I600" s="867">
        <f t="shared" si="580"/>
        <v>0</v>
      </c>
      <c r="J600" s="867">
        <f t="shared" si="580"/>
        <v>0</v>
      </c>
      <c r="K600" s="864">
        <f t="shared" si="581"/>
        <v>0</v>
      </c>
      <c r="L600" s="867">
        <f t="shared" si="581"/>
        <v>0</v>
      </c>
      <c r="M600" s="867">
        <f t="shared" si="582"/>
        <v>0</v>
      </c>
      <c r="N600" s="867">
        <f t="shared" si="582"/>
        <v>0</v>
      </c>
      <c r="O600" s="867">
        <f t="shared" si="582"/>
        <v>0</v>
      </c>
      <c r="P600" s="864">
        <f t="shared" si="583"/>
        <v>0</v>
      </c>
      <c r="Q600" s="867">
        <f t="shared" si="583"/>
        <v>0</v>
      </c>
      <c r="R600" s="867">
        <f t="shared" si="584"/>
        <v>0</v>
      </c>
      <c r="S600" s="867">
        <f t="shared" si="584"/>
        <v>0</v>
      </c>
      <c r="T600" s="867">
        <f t="shared" si="584"/>
        <v>0</v>
      </c>
      <c r="U600" s="864">
        <f t="shared" si="585"/>
        <v>0</v>
      </c>
      <c r="V600" s="867">
        <f t="shared" si="585"/>
        <v>0</v>
      </c>
      <c r="W600" s="867">
        <f t="shared" si="586"/>
        <v>0</v>
      </c>
      <c r="X600" s="867">
        <f t="shared" si="586"/>
        <v>0</v>
      </c>
      <c r="Y600" s="867">
        <f t="shared" si="586"/>
        <v>0</v>
      </c>
      <c r="Z600" s="864">
        <f t="shared" si="587"/>
        <v>0</v>
      </c>
      <c r="AA600" s="867">
        <f t="shared" si="587"/>
        <v>0</v>
      </c>
      <c r="AB600" s="867">
        <f t="shared" si="588"/>
        <v>0</v>
      </c>
      <c r="AC600" s="867">
        <f t="shared" si="588"/>
        <v>0</v>
      </c>
      <c r="AD600" s="867">
        <f t="shared" si="588"/>
        <v>0</v>
      </c>
      <c r="AE600" s="864">
        <f t="shared" si="589"/>
        <v>0</v>
      </c>
      <c r="AF600" s="867">
        <f t="shared" si="589"/>
        <v>0</v>
      </c>
      <c r="AG600" s="867">
        <f t="shared" si="590"/>
        <v>0</v>
      </c>
      <c r="AH600" s="867">
        <f t="shared" si="590"/>
        <v>0</v>
      </c>
      <c r="AI600" s="867">
        <f t="shared" si="590"/>
        <v>0</v>
      </c>
      <c r="AJ600" s="864">
        <f t="shared" si="591"/>
        <v>0</v>
      </c>
      <c r="AK600" s="867">
        <f t="shared" si="591"/>
        <v>0</v>
      </c>
      <c r="AL600" s="867">
        <f t="shared" si="592"/>
        <v>0</v>
      </c>
      <c r="AM600" s="867">
        <f t="shared" si="592"/>
        <v>0</v>
      </c>
      <c r="AN600" s="867">
        <f t="shared" si="592"/>
        <v>0</v>
      </c>
      <c r="AO600" s="864">
        <f t="shared" si="593"/>
        <v>0</v>
      </c>
      <c r="AP600" s="867">
        <f t="shared" si="593"/>
        <v>0</v>
      </c>
      <c r="AQ600" s="867">
        <f t="shared" si="594"/>
        <v>0</v>
      </c>
      <c r="AR600" s="867">
        <f t="shared" si="595"/>
        <v>0</v>
      </c>
      <c r="AS600" s="867">
        <f t="shared" si="596"/>
        <v>0</v>
      </c>
      <c r="AT600" s="864">
        <f t="shared" si="597"/>
        <v>0</v>
      </c>
      <c r="AU600" s="867">
        <f t="shared" si="597"/>
        <v>0</v>
      </c>
      <c r="AV600" s="867">
        <f t="shared" si="598"/>
        <v>-500.02199999999999</v>
      </c>
      <c r="AW600" s="868">
        <f t="shared" si="599"/>
        <v>-100.00000000000006</v>
      </c>
      <c r="AX600" s="867">
        <f>AX441</f>
        <v>0</v>
      </c>
      <c r="AY600" s="864">
        <f t="shared" si="600"/>
        <v>-600.02200000000005</v>
      </c>
      <c r="AZ600" s="867">
        <f>AZ441</f>
        <v>0</v>
      </c>
      <c r="BA600" s="867">
        <f>BA441</f>
        <v>0</v>
      </c>
      <c r="BB600" s="867">
        <f>BB441</f>
        <v>0</v>
      </c>
      <c r="BC600" s="867">
        <f>BC441</f>
        <v>0</v>
      </c>
      <c r="BD600" s="864">
        <f t="shared" si="601"/>
        <v>0</v>
      </c>
      <c r="BE600" s="864">
        <f>BE441</f>
        <v>0</v>
      </c>
      <c r="BF600" s="864">
        <f>BF441</f>
        <v>0</v>
      </c>
      <c r="BG600" s="864">
        <f>BG441</f>
        <v>0</v>
      </c>
      <c r="BH600" s="821"/>
    </row>
    <row r="601" spans="1:60" customFormat="1" x14ac:dyDescent="0.25">
      <c r="A601" s="367" t="str">
        <f t="shared" si="578"/>
        <v>Proceeds from issuance of common stock upon exercise of options</v>
      </c>
      <c r="B601" s="822"/>
      <c r="C601" s="865">
        <f t="shared" si="579"/>
        <v>0</v>
      </c>
      <c r="D601" s="865">
        <f t="shared" si="579"/>
        <v>49.776000000000003</v>
      </c>
      <c r="E601" s="865">
        <f t="shared" si="579"/>
        <v>0</v>
      </c>
      <c r="F601" s="865">
        <f t="shared" si="579"/>
        <v>0</v>
      </c>
      <c r="G601" s="866">
        <f t="shared" si="579"/>
        <v>0</v>
      </c>
      <c r="H601" s="866">
        <f t="shared" si="580"/>
        <v>0</v>
      </c>
      <c r="I601" s="866">
        <f t="shared" si="580"/>
        <v>0</v>
      </c>
      <c r="J601" s="866">
        <f t="shared" si="580"/>
        <v>0</v>
      </c>
      <c r="K601" s="865">
        <f t="shared" si="581"/>
        <v>0</v>
      </c>
      <c r="L601" s="866">
        <f t="shared" si="581"/>
        <v>0</v>
      </c>
      <c r="M601" s="866">
        <f t="shared" si="582"/>
        <v>0</v>
      </c>
      <c r="N601" s="866">
        <f t="shared" si="582"/>
        <v>0</v>
      </c>
      <c r="O601" s="866">
        <f t="shared" si="582"/>
        <v>0</v>
      </c>
      <c r="P601" s="865">
        <f t="shared" si="583"/>
        <v>0</v>
      </c>
      <c r="Q601" s="866">
        <f t="shared" si="583"/>
        <v>0</v>
      </c>
      <c r="R601" s="866">
        <f t="shared" si="584"/>
        <v>0</v>
      </c>
      <c r="S601" s="866">
        <f t="shared" si="584"/>
        <v>0</v>
      </c>
      <c r="T601" s="866">
        <f t="shared" si="584"/>
        <v>0</v>
      </c>
      <c r="U601" s="865">
        <f t="shared" si="585"/>
        <v>0</v>
      </c>
      <c r="V601" s="866">
        <f t="shared" si="585"/>
        <v>0</v>
      </c>
      <c r="W601" s="866">
        <f t="shared" si="586"/>
        <v>0</v>
      </c>
      <c r="X601" s="866">
        <f t="shared" si="586"/>
        <v>0</v>
      </c>
      <c r="Y601" s="866">
        <f t="shared" si="586"/>
        <v>0</v>
      </c>
      <c r="Z601" s="865">
        <f t="shared" si="587"/>
        <v>0</v>
      </c>
      <c r="AA601" s="866">
        <f t="shared" si="587"/>
        <v>0</v>
      </c>
      <c r="AB601" s="866">
        <f t="shared" si="588"/>
        <v>0</v>
      </c>
      <c r="AC601" s="866">
        <f t="shared" si="588"/>
        <v>0</v>
      </c>
      <c r="AD601" s="866">
        <f t="shared" si="588"/>
        <v>0</v>
      </c>
      <c r="AE601" s="865">
        <f t="shared" si="589"/>
        <v>0</v>
      </c>
      <c r="AF601" s="866">
        <f t="shared" si="589"/>
        <v>0</v>
      </c>
      <c r="AG601" s="866">
        <f t="shared" si="590"/>
        <v>0</v>
      </c>
      <c r="AH601" s="866">
        <f t="shared" si="590"/>
        <v>0</v>
      </c>
      <c r="AI601" s="866">
        <f t="shared" si="590"/>
        <v>0</v>
      </c>
      <c r="AJ601" s="865">
        <f t="shared" si="591"/>
        <v>0</v>
      </c>
      <c r="AK601" s="866">
        <f t="shared" si="591"/>
        <v>0</v>
      </c>
      <c r="AL601" s="866">
        <f t="shared" si="592"/>
        <v>0</v>
      </c>
      <c r="AM601" s="866">
        <f t="shared" si="592"/>
        <v>0</v>
      </c>
      <c r="AN601" s="866">
        <f t="shared" si="592"/>
        <v>0</v>
      </c>
      <c r="AO601" s="865">
        <f t="shared" si="593"/>
        <v>0</v>
      </c>
      <c r="AP601" s="866">
        <f t="shared" si="593"/>
        <v>0</v>
      </c>
      <c r="AQ601" s="866">
        <f t="shared" si="594"/>
        <v>0</v>
      </c>
      <c r="AR601" s="866">
        <f t="shared" si="595"/>
        <v>0</v>
      </c>
      <c r="AS601" s="866">
        <f t="shared" si="596"/>
        <v>0</v>
      </c>
      <c r="AT601" s="865">
        <f t="shared" si="597"/>
        <v>0</v>
      </c>
      <c r="AU601" s="866">
        <f t="shared" si="597"/>
        <v>0</v>
      </c>
      <c r="AV601" s="866">
        <f t="shared" si="598"/>
        <v>0</v>
      </c>
      <c r="AW601" s="878">
        <f t="shared" si="599"/>
        <v>0</v>
      </c>
      <c r="AX601" s="867"/>
      <c r="AY601" s="864">
        <f t="shared" si="600"/>
        <v>0</v>
      </c>
      <c r="AZ601" s="867"/>
      <c r="BA601" s="867"/>
      <c r="BB601" s="867"/>
      <c r="BC601" s="867"/>
      <c r="BD601" s="864">
        <f t="shared" si="601"/>
        <v>0</v>
      </c>
      <c r="BE601" s="864"/>
      <c r="BF601" s="864"/>
      <c r="BG601" s="864"/>
      <c r="BH601" s="821"/>
    </row>
    <row r="602" spans="1:60" customFormat="1" x14ac:dyDescent="0.25">
      <c r="A602" s="367" t="str">
        <f t="shared" si="578"/>
        <v>Dividend paid to common shareholders</v>
      </c>
      <c r="B602" s="822"/>
      <c r="C602" s="865">
        <f t="shared" si="579"/>
        <v>0</v>
      </c>
      <c r="D602" s="865">
        <f t="shared" si="579"/>
        <v>0</v>
      </c>
      <c r="E602" s="865">
        <f t="shared" si="579"/>
        <v>0</v>
      </c>
      <c r="F602" s="865">
        <f t="shared" si="579"/>
        <v>0</v>
      </c>
      <c r="G602" s="866">
        <f t="shared" si="579"/>
        <v>0</v>
      </c>
      <c r="H602" s="866">
        <f t="shared" si="580"/>
        <v>0</v>
      </c>
      <c r="I602" s="866">
        <f t="shared" si="580"/>
        <v>0</v>
      </c>
      <c r="J602" s="866">
        <f t="shared" si="580"/>
        <v>0</v>
      </c>
      <c r="K602" s="865">
        <f t="shared" si="581"/>
        <v>0</v>
      </c>
      <c r="L602" s="866">
        <f t="shared" si="581"/>
        <v>0</v>
      </c>
      <c r="M602" s="866">
        <f t="shared" si="582"/>
        <v>0</v>
      </c>
      <c r="N602" s="866">
        <f t="shared" si="582"/>
        <v>0</v>
      </c>
      <c r="O602" s="866">
        <f t="shared" si="582"/>
        <v>0</v>
      </c>
      <c r="P602" s="865">
        <f t="shared" si="583"/>
        <v>0</v>
      </c>
      <c r="Q602" s="866">
        <f t="shared" si="583"/>
        <v>0</v>
      </c>
      <c r="R602" s="866">
        <f t="shared" si="584"/>
        <v>0</v>
      </c>
      <c r="S602" s="866">
        <f t="shared" si="584"/>
        <v>0</v>
      </c>
      <c r="T602" s="866">
        <f t="shared" si="584"/>
        <v>0</v>
      </c>
      <c r="U602" s="865">
        <f t="shared" si="585"/>
        <v>0</v>
      </c>
      <c r="V602" s="866">
        <f t="shared" si="585"/>
        <v>0</v>
      </c>
      <c r="W602" s="866">
        <f t="shared" si="586"/>
        <v>0</v>
      </c>
      <c r="X602" s="866">
        <f t="shared" si="586"/>
        <v>0</v>
      </c>
      <c r="Y602" s="866">
        <f t="shared" si="586"/>
        <v>0</v>
      </c>
      <c r="Z602" s="865">
        <f t="shared" si="587"/>
        <v>0</v>
      </c>
      <c r="AA602" s="866">
        <f t="shared" si="587"/>
        <v>0</v>
      </c>
      <c r="AB602" s="866">
        <f t="shared" si="588"/>
        <v>0</v>
      </c>
      <c r="AC602" s="866">
        <f t="shared" si="588"/>
        <v>0</v>
      </c>
      <c r="AD602" s="866">
        <f t="shared" si="588"/>
        <v>0</v>
      </c>
      <c r="AE602" s="865">
        <f t="shared" si="589"/>
        <v>0</v>
      </c>
      <c r="AF602" s="866">
        <f t="shared" si="589"/>
        <v>0</v>
      </c>
      <c r="AG602" s="866">
        <f t="shared" si="590"/>
        <v>0</v>
      </c>
      <c r="AH602" s="866">
        <f t="shared" si="590"/>
        <v>0</v>
      </c>
      <c r="AI602" s="866">
        <f t="shared" si="590"/>
        <v>0</v>
      </c>
      <c r="AJ602" s="865">
        <f t="shared" si="591"/>
        <v>0</v>
      </c>
      <c r="AK602" s="866">
        <f t="shared" si="591"/>
        <v>0</v>
      </c>
      <c r="AL602" s="866">
        <f t="shared" si="592"/>
        <v>0</v>
      </c>
      <c r="AM602" s="866">
        <f t="shared" si="592"/>
        <v>0</v>
      </c>
      <c r="AN602" s="866">
        <f t="shared" si="592"/>
        <v>0</v>
      </c>
      <c r="AO602" s="865">
        <f t="shared" si="593"/>
        <v>0</v>
      </c>
      <c r="AP602" s="866">
        <f t="shared" si="593"/>
        <v>0</v>
      </c>
      <c r="AQ602" s="866">
        <f t="shared" si="594"/>
        <v>0</v>
      </c>
      <c r="AR602" s="866">
        <f t="shared" si="595"/>
        <v>0</v>
      </c>
      <c r="AS602" s="866">
        <f t="shared" si="596"/>
        <v>0</v>
      </c>
      <c r="AT602" s="865">
        <f t="shared" si="597"/>
        <v>0</v>
      </c>
      <c r="AU602" s="866">
        <f t="shared" si="597"/>
        <v>0</v>
      </c>
      <c r="AV602" s="866">
        <f t="shared" si="598"/>
        <v>0</v>
      </c>
      <c r="AW602" s="878">
        <f t="shared" si="599"/>
        <v>0</v>
      </c>
      <c r="AX602" s="867">
        <f ca="1">AX437</f>
        <v>0</v>
      </c>
      <c r="AY602" s="864">
        <f t="shared" ca="1" si="600"/>
        <v>0</v>
      </c>
      <c r="AZ602" s="867">
        <f ca="1">AZ437</f>
        <v>0</v>
      </c>
      <c r="BA602" s="867">
        <f ca="1">BA437</f>
        <v>0</v>
      </c>
      <c r="BB602" s="867">
        <f ca="1">BB437</f>
        <v>0</v>
      </c>
      <c r="BC602" s="867">
        <f ca="1">BC437</f>
        <v>0</v>
      </c>
      <c r="BD602" s="864">
        <f t="shared" ca="1" si="601"/>
        <v>0</v>
      </c>
      <c r="BE602" s="864">
        <f ca="1">BE437</f>
        <v>0</v>
      </c>
      <c r="BF602" s="864">
        <f ca="1">BF437</f>
        <v>0</v>
      </c>
      <c r="BG602" s="864">
        <f ca="1">BG437</f>
        <v>0</v>
      </c>
      <c r="BH602" s="821"/>
    </row>
    <row r="603" spans="1:60" customFormat="1" x14ac:dyDescent="0.25">
      <c r="A603" s="367" t="str">
        <f t="shared" si="578"/>
        <v>Principal payments of lease financing obligations</v>
      </c>
      <c r="B603" s="822"/>
      <c r="C603" s="865">
        <f t="shared" si="579"/>
        <v>-1.1579999999999999</v>
      </c>
      <c r="D603" s="865">
        <f t="shared" si="579"/>
        <v>-1.776</v>
      </c>
      <c r="E603" s="865">
        <f t="shared" si="579"/>
        <v>-2.0830000000000002</v>
      </c>
      <c r="F603" s="865">
        <f t="shared" si="579"/>
        <v>-2.319</v>
      </c>
      <c r="G603" s="866">
        <f t="shared" si="579"/>
        <v>-0.40300000000000002</v>
      </c>
      <c r="H603" s="866">
        <f t="shared" si="580"/>
        <v>-0.255</v>
      </c>
      <c r="I603" s="866">
        <f t="shared" si="580"/>
        <v>-0.25800000000000001</v>
      </c>
      <c r="J603" s="866">
        <f t="shared" si="580"/>
        <v>-0.2639999999999999</v>
      </c>
      <c r="K603" s="865">
        <f t="shared" si="581"/>
        <v>-1.18</v>
      </c>
      <c r="L603" s="866">
        <f t="shared" si="581"/>
        <v>-0.26700000000000002</v>
      </c>
      <c r="M603" s="866">
        <f t="shared" si="582"/>
        <v>-0.27100000000000002</v>
      </c>
      <c r="N603" s="866">
        <f t="shared" si="582"/>
        <v>-0.27499999999999991</v>
      </c>
      <c r="O603" s="866">
        <f t="shared" si="582"/>
        <v>-0.28000000000000003</v>
      </c>
      <c r="P603" s="865">
        <f t="shared" si="583"/>
        <v>-1.093</v>
      </c>
      <c r="Q603" s="866">
        <f t="shared" si="583"/>
        <v>-0.251</v>
      </c>
      <c r="R603" s="866">
        <f t="shared" si="584"/>
        <v>-0.28700000000000003</v>
      </c>
      <c r="S603" s="866">
        <f t="shared" si="584"/>
        <v>-6.0999999999999943E-2</v>
      </c>
      <c r="T603" s="866">
        <f t="shared" si="584"/>
        <v>5.3999999999999937E-2</v>
      </c>
      <c r="U603" s="865">
        <f t="shared" si="585"/>
        <v>-0.54500000000000004</v>
      </c>
      <c r="V603" s="866">
        <f t="shared" si="585"/>
        <v>0</v>
      </c>
      <c r="W603" s="866">
        <f t="shared" si="586"/>
        <v>0</v>
      </c>
      <c r="X603" s="866">
        <f t="shared" si="586"/>
        <v>0</v>
      </c>
      <c r="Y603" s="866">
        <f t="shared" si="586"/>
        <v>0</v>
      </c>
      <c r="Z603" s="865">
        <f t="shared" si="587"/>
        <v>0</v>
      </c>
      <c r="AA603" s="866">
        <f t="shared" si="587"/>
        <v>0</v>
      </c>
      <c r="AB603" s="866">
        <f t="shared" si="588"/>
        <v>0</v>
      </c>
      <c r="AC603" s="866">
        <f t="shared" si="588"/>
        <v>0</v>
      </c>
      <c r="AD603" s="866">
        <f t="shared" si="588"/>
        <v>0</v>
      </c>
      <c r="AE603" s="865">
        <f t="shared" si="589"/>
        <v>0</v>
      </c>
      <c r="AF603" s="866">
        <f t="shared" si="589"/>
        <v>0</v>
      </c>
      <c r="AG603" s="866">
        <f t="shared" si="590"/>
        <v>0</v>
      </c>
      <c r="AH603" s="866">
        <f t="shared" si="590"/>
        <v>0</v>
      </c>
      <c r="AI603" s="866">
        <f t="shared" si="590"/>
        <v>0</v>
      </c>
      <c r="AJ603" s="865">
        <f t="shared" si="591"/>
        <v>0</v>
      </c>
      <c r="AK603" s="866">
        <f t="shared" si="591"/>
        <v>0</v>
      </c>
      <c r="AL603" s="866">
        <f t="shared" si="592"/>
        <v>0</v>
      </c>
      <c r="AM603" s="866">
        <f t="shared" si="592"/>
        <v>0</v>
      </c>
      <c r="AN603" s="866">
        <f t="shared" si="592"/>
        <v>0</v>
      </c>
      <c r="AO603" s="865">
        <f t="shared" si="593"/>
        <v>0</v>
      </c>
      <c r="AP603" s="866">
        <f t="shared" si="593"/>
        <v>0</v>
      </c>
      <c r="AQ603" s="866">
        <f t="shared" si="594"/>
        <v>0</v>
      </c>
      <c r="AR603" s="866">
        <f t="shared" si="595"/>
        <v>0</v>
      </c>
      <c r="AS603" s="866">
        <f t="shared" si="596"/>
        <v>0</v>
      </c>
      <c r="AT603" s="865">
        <f t="shared" si="597"/>
        <v>0</v>
      </c>
      <c r="AU603" s="866">
        <f t="shared" si="597"/>
        <v>0</v>
      </c>
      <c r="AV603" s="866">
        <f t="shared" si="598"/>
        <v>0</v>
      </c>
      <c r="AW603" s="878">
        <f t="shared" si="599"/>
        <v>0</v>
      </c>
      <c r="AX603" s="867"/>
      <c r="AY603" s="864">
        <f t="shared" si="600"/>
        <v>0</v>
      </c>
      <c r="AZ603" s="867"/>
      <c r="BA603" s="867"/>
      <c r="BB603" s="867"/>
      <c r="BC603" s="867"/>
      <c r="BD603" s="864">
        <f t="shared" si="601"/>
        <v>0</v>
      </c>
      <c r="BE603" s="864"/>
      <c r="BF603" s="864"/>
      <c r="BG603" s="864"/>
      <c r="BH603" s="821"/>
    </row>
    <row r="604" spans="1:60" customFormat="1" x14ac:dyDescent="0.25">
      <c r="A604" s="113" t="str">
        <f t="shared" si="578"/>
        <v>Other financing activities</v>
      </c>
      <c r="B604" s="827"/>
      <c r="C604" s="886">
        <f t="shared" si="579"/>
        <v>0</v>
      </c>
      <c r="D604" s="886">
        <f t="shared" si="579"/>
        <v>0</v>
      </c>
      <c r="E604" s="886">
        <f t="shared" si="579"/>
        <v>0</v>
      </c>
      <c r="F604" s="886">
        <f t="shared" si="579"/>
        <v>0</v>
      </c>
      <c r="G604" s="885">
        <f t="shared" si="579"/>
        <v>0</v>
      </c>
      <c r="H604" s="885">
        <f t="shared" si="580"/>
        <v>0</v>
      </c>
      <c r="I604" s="885">
        <f t="shared" si="580"/>
        <v>0</v>
      </c>
      <c r="J604" s="885">
        <f t="shared" si="580"/>
        <v>0</v>
      </c>
      <c r="K604" s="886">
        <f t="shared" si="581"/>
        <v>0</v>
      </c>
      <c r="L604" s="885">
        <f t="shared" si="581"/>
        <v>0</v>
      </c>
      <c r="M604" s="885">
        <f t="shared" si="582"/>
        <v>0</v>
      </c>
      <c r="N604" s="885">
        <f t="shared" si="582"/>
        <v>0</v>
      </c>
      <c r="O604" s="885">
        <f t="shared" si="582"/>
        <v>0</v>
      </c>
      <c r="P604" s="886">
        <f t="shared" si="583"/>
        <v>0</v>
      </c>
      <c r="Q604" s="885">
        <f t="shared" si="583"/>
        <v>0</v>
      </c>
      <c r="R604" s="885">
        <f t="shared" si="584"/>
        <v>0</v>
      </c>
      <c r="S604" s="885">
        <f t="shared" si="584"/>
        <v>0</v>
      </c>
      <c r="T604" s="885">
        <f t="shared" si="584"/>
        <v>0</v>
      </c>
      <c r="U604" s="886">
        <f t="shared" si="585"/>
        <v>0</v>
      </c>
      <c r="V604" s="885">
        <f t="shared" si="585"/>
        <v>5.5E-2</v>
      </c>
      <c r="W604" s="885">
        <f t="shared" si="586"/>
        <v>5.7000000000000002E-2</v>
      </c>
      <c r="X604" s="885">
        <f t="shared" si="586"/>
        <v>5.800000000000001E-2</v>
      </c>
      <c r="Y604" s="885">
        <f t="shared" si="586"/>
        <v>0.06</v>
      </c>
      <c r="Z604" s="886">
        <f t="shared" si="587"/>
        <v>0.23</v>
      </c>
      <c r="AA604" s="885">
        <f t="shared" si="587"/>
        <v>6.0999999999999999E-2</v>
      </c>
      <c r="AB604" s="885">
        <f t="shared" si="588"/>
        <v>6.3E-2</v>
      </c>
      <c r="AC604" s="885">
        <f t="shared" si="588"/>
        <v>6.5000000000000002E-2</v>
      </c>
      <c r="AD604" s="885">
        <f t="shared" si="588"/>
        <v>6.6000000000000003E-2</v>
      </c>
      <c r="AE604" s="886">
        <f t="shared" si="589"/>
        <v>0.255</v>
      </c>
      <c r="AF604" s="885">
        <f t="shared" si="589"/>
        <v>-0.32100000000000001</v>
      </c>
      <c r="AG604" s="885">
        <f t="shared" si="590"/>
        <v>-0.53200000000000003</v>
      </c>
      <c r="AH604" s="885">
        <f t="shared" si="590"/>
        <v>-0.54400000000000004</v>
      </c>
      <c r="AI604" s="885">
        <f t="shared" si="590"/>
        <v>-0.55899999999999994</v>
      </c>
      <c r="AJ604" s="886">
        <f t="shared" si="591"/>
        <v>-1.956</v>
      </c>
      <c r="AK604" s="885">
        <f t="shared" si="591"/>
        <v>0</v>
      </c>
      <c r="AL604" s="885">
        <f t="shared" si="592"/>
        <v>0</v>
      </c>
      <c r="AM604" s="885">
        <f t="shared" si="592"/>
        <v>0</v>
      </c>
      <c r="AN604" s="885">
        <f t="shared" si="592"/>
        <v>0</v>
      </c>
      <c r="AO604" s="886">
        <f t="shared" si="593"/>
        <v>0</v>
      </c>
      <c r="AP604" s="885">
        <f t="shared" si="593"/>
        <v>0</v>
      </c>
      <c r="AQ604" s="885">
        <f t="shared" si="594"/>
        <v>0</v>
      </c>
      <c r="AR604" s="885">
        <f t="shared" si="595"/>
        <v>0</v>
      </c>
      <c r="AS604" s="885">
        <f t="shared" si="596"/>
        <v>0</v>
      </c>
      <c r="AT604" s="886">
        <f t="shared" si="597"/>
        <v>0</v>
      </c>
      <c r="AU604" s="885">
        <f t="shared" si="597"/>
        <v>0</v>
      </c>
      <c r="AV604" s="885">
        <f t="shared" si="598"/>
        <v>0</v>
      </c>
      <c r="AW604" s="891">
        <f t="shared" si="599"/>
        <v>0</v>
      </c>
      <c r="AX604" s="882"/>
      <c r="AY604" s="881">
        <f t="shared" si="600"/>
        <v>0</v>
      </c>
      <c r="AZ604" s="882"/>
      <c r="BA604" s="882"/>
      <c r="BB604" s="882"/>
      <c r="BC604" s="882"/>
      <c r="BD604" s="881">
        <f t="shared" si="601"/>
        <v>0</v>
      </c>
      <c r="BE604" s="881"/>
      <c r="BF604" s="881"/>
      <c r="BG604" s="881"/>
      <c r="BH604" s="821"/>
    </row>
    <row r="605" spans="1:60" customFormat="1" x14ac:dyDescent="0.25">
      <c r="A605" s="61" t="str">
        <f t="shared" si="578"/>
        <v>Net CFF</v>
      </c>
      <c r="B605" s="505"/>
      <c r="C605" s="872">
        <f t="shared" ref="C605:AH605" si="602">SUM(C591:C604)</f>
        <v>-84.640999999999977</v>
      </c>
      <c r="D605" s="872">
        <f t="shared" si="602"/>
        <v>-100.04499999999997</v>
      </c>
      <c r="E605" s="872">
        <f t="shared" si="602"/>
        <v>261.65599999999995</v>
      </c>
      <c r="F605" s="872">
        <f t="shared" si="602"/>
        <v>5.5889999999999995</v>
      </c>
      <c r="G605" s="871">
        <f t="shared" si="602"/>
        <v>321.58199999999999</v>
      </c>
      <c r="H605" s="871">
        <f t="shared" si="602"/>
        <v>48.959000000000003</v>
      </c>
      <c r="I605" s="871">
        <f t="shared" si="602"/>
        <v>45.794999999999995</v>
      </c>
      <c r="J605" s="871">
        <f t="shared" si="602"/>
        <v>59.927999999999997</v>
      </c>
      <c r="K605" s="872">
        <f t="shared" si="602"/>
        <v>476.26400000000007</v>
      </c>
      <c r="L605" s="871">
        <f t="shared" si="602"/>
        <v>458.18599999999998</v>
      </c>
      <c r="M605" s="871">
        <f t="shared" si="602"/>
        <v>28.472999999999999</v>
      </c>
      <c r="N605" s="871">
        <f t="shared" si="602"/>
        <v>30.661999999999999</v>
      </c>
      <c r="O605" s="871">
        <f t="shared" si="602"/>
        <v>24.390999999999991</v>
      </c>
      <c r="P605" s="872">
        <f t="shared" si="602"/>
        <v>541.71199999999999</v>
      </c>
      <c r="Q605" s="871">
        <f t="shared" si="602"/>
        <v>1522.434</v>
      </c>
      <c r="R605" s="871">
        <f t="shared" si="602"/>
        <v>62.54699999999999</v>
      </c>
      <c r="S605" s="871">
        <f t="shared" si="602"/>
        <v>72.753999999999991</v>
      </c>
      <c r="T605" s="871">
        <f t="shared" si="602"/>
        <v>-17.457999999999988</v>
      </c>
      <c r="U605" s="872">
        <f t="shared" si="602"/>
        <v>1640.277</v>
      </c>
      <c r="V605" s="871">
        <f t="shared" si="602"/>
        <v>14.907</v>
      </c>
      <c r="W605" s="871">
        <f t="shared" si="602"/>
        <v>17.611999999999998</v>
      </c>
      <c r="X605" s="871">
        <f t="shared" si="602"/>
        <v>16.639000000000003</v>
      </c>
      <c r="Y605" s="871">
        <f t="shared" si="602"/>
        <v>1042.472</v>
      </c>
      <c r="Z605" s="872">
        <f t="shared" si="602"/>
        <v>1091.6300000000001</v>
      </c>
      <c r="AA605" s="871">
        <f t="shared" si="602"/>
        <v>24.239000000000001</v>
      </c>
      <c r="AB605" s="871">
        <f t="shared" si="602"/>
        <v>1420.3860000000002</v>
      </c>
      <c r="AC605" s="871">
        <f t="shared" si="602"/>
        <v>34.422000000000004</v>
      </c>
      <c r="AD605" s="871">
        <f t="shared" si="602"/>
        <v>1597.9430000000002</v>
      </c>
      <c r="AE605" s="872">
        <f t="shared" si="602"/>
        <v>3076.9900000000007</v>
      </c>
      <c r="AF605" s="871">
        <f t="shared" si="602"/>
        <v>56.014000000000003</v>
      </c>
      <c r="AG605" s="871">
        <f t="shared" si="602"/>
        <v>1909.412</v>
      </c>
      <c r="AH605" s="871">
        <f t="shared" si="602"/>
        <v>29.237000000000005</v>
      </c>
      <c r="AI605" s="871">
        <f t="shared" ref="AI605:AY605" si="603">SUM(AI591:AI604)</f>
        <v>2053.8639999999996</v>
      </c>
      <c r="AJ605" s="872">
        <f t="shared" si="603"/>
        <v>4048.5269999999996</v>
      </c>
      <c r="AK605" s="871">
        <f t="shared" si="603"/>
        <v>22.972000000000001</v>
      </c>
      <c r="AL605" s="871">
        <f t="shared" si="603"/>
        <v>2246.9</v>
      </c>
      <c r="AM605" s="871">
        <f t="shared" si="603"/>
        <v>11.988999999999997</v>
      </c>
      <c r="AN605" s="871">
        <f t="shared" si="603"/>
        <v>2223.8009999999995</v>
      </c>
      <c r="AO605" s="872">
        <f t="shared" si="603"/>
        <v>4505.6619999999994</v>
      </c>
      <c r="AP605" s="871">
        <f t="shared" si="603"/>
        <v>43.694000000000003</v>
      </c>
      <c r="AQ605" s="871">
        <f t="shared" si="603"/>
        <v>1090.9650000000001</v>
      </c>
      <c r="AR605" s="871">
        <f>SUM(AR591:AR604)</f>
        <v>68.66500000000002</v>
      </c>
      <c r="AS605" s="871">
        <f>SUM(AS591:AS604)</f>
        <v>33.986999999999995</v>
      </c>
      <c r="AT605" s="872">
        <f>SUM(AT591:AT604)</f>
        <v>1237.3110000000001</v>
      </c>
      <c r="AU605" s="871">
        <f t="shared" ref="AU605" si="604">SUM(AU591:AU604)</f>
        <v>-451.92899999999997</v>
      </c>
      <c r="AV605" s="871">
        <f>SUM(AV591:AV604)</f>
        <v>-480.27300000000002</v>
      </c>
      <c r="AW605" s="873">
        <f>SUM(AW591:AW604)</f>
        <v>-81.555000000000049</v>
      </c>
      <c r="AX605" s="870">
        <f t="shared" ca="1" si="603"/>
        <v>0</v>
      </c>
      <c r="AY605" s="869">
        <f t="shared" ca="1" si="603"/>
        <v>-1013.7570000000001</v>
      </c>
      <c r="AZ605" s="870">
        <f t="shared" ref="AZ605:BG605" ca="1" si="605">SUM(AZ591:AZ604)</f>
        <v>0</v>
      </c>
      <c r="BA605" s="870">
        <f t="shared" ca="1" si="605"/>
        <v>0</v>
      </c>
      <c r="BB605" s="870">
        <f t="shared" ca="1" si="605"/>
        <v>0</v>
      </c>
      <c r="BC605" s="870">
        <f t="shared" ca="1" si="605"/>
        <v>0</v>
      </c>
      <c r="BD605" s="869">
        <f t="shared" ca="1" si="605"/>
        <v>0</v>
      </c>
      <c r="BE605" s="869">
        <f t="shared" ca="1" si="605"/>
        <v>0</v>
      </c>
      <c r="BF605" s="869">
        <f t="shared" ca="1" si="605"/>
        <v>0</v>
      </c>
      <c r="BG605" s="869">
        <f t="shared" ca="1" si="605"/>
        <v>0</v>
      </c>
      <c r="BH605" s="824"/>
    </row>
    <row r="606" spans="1:60" customFormat="1" x14ac:dyDescent="0.25">
      <c r="A606" s="494"/>
      <c r="B606" s="423"/>
      <c r="C606" s="874"/>
      <c r="D606" s="874"/>
      <c r="E606" s="874"/>
      <c r="F606" s="874"/>
      <c r="G606" s="879"/>
      <c r="H606" s="879"/>
      <c r="I606" s="879"/>
      <c r="J606" s="879"/>
      <c r="K606" s="874"/>
      <c r="L606" s="879"/>
      <c r="M606" s="879"/>
      <c r="N606" s="879"/>
      <c r="O606" s="879"/>
      <c r="P606" s="874"/>
      <c r="Q606" s="879"/>
      <c r="R606" s="879"/>
      <c r="S606" s="879"/>
      <c r="T606" s="879"/>
      <c r="U606" s="874"/>
      <c r="V606" s="879"/>
      <c r="W606" s="879"/>
      <c r="X606" s="879"/>
      <c r="Y606" s="879"/>
      <c r="Z606" s="874"/>
      <c r="AA606" s="879"/>
      <c r="AB606" s="879"/>
      <c r="AC606" s="879"/>
      <c r="AD606" s="879"/>
      <c r="AE606" s="874"/>
      <c r="AF606" s="879"/>
      <c r="AG606" s="879"/>
      <c r="AH606" s="879"/>
      <c r="AI606" s="879"/>
      <c r="AJ606" s="874"/>
      <c r="AK606" s="879"/>
      <c r="AL606" s="879"/>
      <c r="AM606" s="879"/>
      <c r="AN606" s="879"/>
      <c r="AO606" s="874"/>
      <c r="AP606" s="879"/>
      <c r="AQ606" s="879"/>
      <c r="AR606" s="879"/>
      <c r="AS606" s="879"/>
      <c r="AT606" s="874"/>
      <c r="AU606" s="879"/>
      <c r="AV606" s="879"/>
      <c r="AW606" s="880"/>
      <c r="AX606" s="879"/>
      <c r="AY606" s="874"/>
      <c r="AZ606" s="879"/>
      <c r="BA606" s="879"/>
      <c r="BB606" s="879"/>
      <c r="BC606" s="879"/>
      <c r="BD606" s="874"/>
      <c r="BE606" s="874"/>
      <c r="BF606" s="874"/>
      <c r="BG606" s="874"/>
      <c r="BH606" s="824"/>
    </row>
    <row r="607" spans="1:60" customFormat="1" x14ac:dyDescent="0.25">
      <c r="A607" s="65" t="str">
        <f>A547</f>
        <v>FX</v>
      </c>
      <c r="B607" s="289"/>
      <c r="C607" s="865">
        <f>C547</f>
        <v>0</v>
      </c>
      <c r="D607" s="865">
        <f>D547</f>
        <v>0</v>
      </c>
      <c r="E607" s="865">
        <f>E547</f>
        <v>0</v>
      </c>
      <c r="F607" s="865">
        <f>F547</f>
        <v>-0.19700000000000001</v>
      </c>
      <c r="G607" s="866">
        <f>G547</f>
        <v>-2.3359999999999999</v>
      </c>
      <c r="H607" s="866">
        <f>H547-G547</f>
        <v>-2.5900000000000003</v>
      </c>
      <c r="I607" s="866">
        <f>I547-H547</f>
        <v>1.5590000000000002</v>
      </c>
      <c r="J607" s="866">
        <f>J547-I547</f>
        <v>-8.5999999999999854E-2</v>
      </c>
      <c r="K607" s="865">
        <f>K547</f>
        <v>-3.4529999999999998</v>
      </c>
      <c r="L607" s="866">
        <f>L547</f>
        <v>0.30099999999999999</v>
      </c>
      <c r="M607" s="866">
        <f>M547-L547</f>
        <v>1.25</v>
      </c>
      <c r="N607" s="866">
        <f>N547-M547</f>
        <v>-3.8389999999999995</v>
      </c>
      <c r="O607" s="866">
        <f>O547-N547</f>
        <v>-4.3979999999999997</v>
      </c>
      <c r="P607" s="865">
        <f>P547</f>
        <v>-6.6859999999999999</v>
      </c>
      <c r="Q607" s="866">
        <f>Q547</f>
        <v>-11.061</v>
      </c>
      <c r="R607" s="866">
        <f>R547-Q547</f>
        <v>6.2210000000000001</v>
      </c>
      <c r="S607" s="866">
        <f>S547-R547</f>
        <v>-7.7409999999999997</v>
      </c>
      <c r="T607" s="866">
        <f>T547-S547</f>
        <v>-3.343</v>
      </c>
      <c r="U607" s="865">
        <f>U547</f>
        <v>-15.923999999999999</v>
      </c>
      <c r="V607" s="866">
        <f>V547</f>
        <v>5.3339999999999996</v>
      </c>
      <c r="W607" s="866">
        <f>W547-V547</f>
        <v>-2.7419999999999995</v>
      </c>
      <c r="X607" s="866">
        <f>X547-W547</f>
        <v>-0.44100000000000028</v>
      </c>
      <c r="Y607" s="866">
        <f>Y547-X547</f>
        <v>-11.315999999999999</v>
      </c>
      <c r="Z607" s="865">
        <f>Z547</f>
        <v>-9.1649999999999991</v>
      </c>
      <c r="AA607" s="866">
        <f>AA547</f>
        <v>5.4550000000000001</v>
      </c>
      <c r="AB607" s="866">
        <f>AB547-AA547</f>
        <v>11.526999999999999</v>
      </c>
      <c r="AC607" s="866">
        <f>AC547-AB547</f>
        <v>10.685000000000002</v>
      </c>
      <c r="AD607" s="866">
        <f>AD547-AC547</f>
        <v>2.1809999999999974</v>
      </c>
      <c r="AE607" s="865">
        <f>AE547</f>
        <v>29.847999999999999</v>
      </c>
      <c r="AF607" s="866">
        <f>AF547</f>
        <v>7.1769999999999996</v>
      </c>
      <c r="AG607" s="866">
        <f>AG547-AF547</f>
        <v>-36.340000000000003</v>
      </c>
      <c r="AH607" s="866">
        <f>AH547-AG547</f>
        <v>-5.5620000000000012</v>
      </c>
      <c r="AI607" s="866">
        <f>AI547-AH547</f>
        <v>-4.9570000000000007</v>
      </c>
      <c r="AJ607" s="865">
        <f>AJ547</f>
        <v>-39.682000000000002</v>
      </c>
      <c r="AK607" s="866">
        <f>AK547</f>
        <v>-5.0140000000000002</v>
      </c>
      <c r="AL607" s="866">
        <f>AL547-AK547</f>
        <v>4.9980000000000002</v>
      </c>
      <c r="AM607" s="866">
        <f>AM547-AL547</f>
        <v>-29.325000000000003</v>
      </c>
      <c r="AN607" s="866">
        <f>AN547-AM547</f>
        <v>29.810000000000002</v>
      </c>
      <c r="AO607" s="865">
        <f>AO547</f>
        <v>0.46899999999999997</v>
      </c>
      <c r="AP607" s="866">
        <f>AP547</f>
        <v>-70.902000000000001</v>
      </c>
      <c r="AQ607" s="866">
        <f>AQ547-AP547</f>
        <v>11.819000000000003</v>
      </c>
      <c r="AR607" s="866">
        <f>AR547-AQ547</f>
        <v>28.459</v>
      </c>
      <c r="AS607" s="866">
        <f>AS547-AR547</f>
        <v>66.673999999999992</v>
      </c>
      <c r="AT607" s="865">
        <f>AT547</f>
        <v>36.049999999999997</v>
      </c>
      <c r="AU607" s="866">
        <f>AU547</f>
        <v>-42.137999999999998</v>
      </c>
      <c r="AV607" s="866">
        <f>AV547-AU547</f>
        <v>23.476999999999997</v>
      </c>
      <c r="AW607" s="878">
        <f>AW547-AV547</f>
        <v>-63.843000000000004</v>
      </c>
      <c r="AX607" s="905">
        <v>0</v>
      </c>
      <c r="AY607" s="864">
        <f>SUM(AU607,AV607,AW607,AX607)</f>
        <v>-82.504000000000005</v>
      </c>
      <c r="AZ607" s="905">
        <v>0</v>
      </c>
      <c r="BA607" s="905">
        <v>0</v>
      </c>
      <c r="BB607" s="905">
        <v>0</v>
      </c>
      <c r="BC607" s="905">
        <v>0</v>
      </c>
      <c r="BD607" s="864">
        <f>SUM(AZ607,BA607,BB607,BC607)</f>
        <v>0</v>
      </c>
      <c r="BE607" s="906">
        <v>0</v>
      </c>
      <c r="BF607" s="906">
        <v>0</v>
      </c>
      <c r="BG607" s="906">
        <v>0</v>
      </c>
      <c r="BH607" s="821"/>
    </row>
    <row r="608" spans="1:60" customFormat="1" x14ac:dyDescent="0.25">
      <c r="A608" s="63" t="str">
        <f>A548</f>
        <v>Net Change in Cash Balance</v>
      </c>
      <c r="B608" s="423"/>
      <c r="C608" s="875">
        <f t="shared" ref="C608:AH608" si="606">C605+C588+C575+C607</f>
        <v>-5.6569999999999823</v>
      </c>
      <c r="D608" s="875">
        <f t="shared" si="606"/>
        <v>60.275000000000034</v>
      </c>
      <c r="E608" s="875">
        <f t="shared" si="606"/>
        <v>313.55400000000014</v>
      </c>
      <c r="F608" s="875">
        <f t="shared" si="606"/>
        <v>-217.76199999999983</v>
      </c>
      <c r="G608" s="876">
        <f t="shared" si="606"/>
        <v>127.75999999999995</v>
      </c>
      <c r="H608" s="876">
        <f t="shared" si="606"/>
        <v>-47.37299999999999</v>
      </c>
      <c r="I608" s="876">
        <f t="shared" si="606"/>
        <v>68.378000000000185</v>
      </c>
      <c r="J608" s="876">
        <f t="shared" si="606"/>
        <v>165.90900000000013</v>
      </c>
      <c r="K608" s="875">
        <f t="shared" si="606"/>
        <v>314.67400000000021</v>
      </c>
      <c r="L608" s="876">
        <f t="shared" si="606"/>
        <v>552.48500000000013</v>
      </c>
      <c r="M608" s="876">
        <f t="shared" si="606"/>
        <v>56.793999999999997</v>
      </c>
      <c r="N608" s="876">
        <f t="shared" si="606"/>
        <v>-31.0270000000001</v>
      </c>
      <c r="O608" s="876">
        <f t="shared" si="606"/>
        <v>-69.608999999999739</v>
      </c>
      <c r="P608" s="875">
        <f t="shared" si="606"/>
        <v>508.6430000000002</v>
      </c>
      <c r="Q608" s="876">
        <f t="shared" si="606"/>
        <v>1341.1690000000001</v>
      </c>
      <c r="R608" s="876">
        <f t="shared" si="606"/>
        <v>-160.905</v>
      </c>
      <c r="S608" s="876">
        <f t="shared" si="606"/>
        <v>-178.43499999999995</v>
      </c>
      <c r="T608" s="876">
        <f t="shared" si="606"/>
        <v>-306.10699999999997</v>
      </c>
      <c r="U608" s="875">
        <f t="shared" si="606"/>
        <v>695.72200000000021</v>
      </c>
      <c r="V608" s="876">
        <f t="shared" si="606"/>
        <v>-204.08600000000041</v>
      </c>
      <c r="W608" s="876">
        <f t="shared" si="606"/>
        <v>-214.31899999999925</v>
      </c>
      <c r="X608" s="876">
        <f t="shared" si="606"/>
        <v>-421.76700000000039</v>
      </c>
      <c r="Y608" s="876">
        <f t="shared" si="606"/>
        <v>498.41799999999949</v>
      </c>
      <c r="Z608" s="875">
        <f t="shared" si="606"/>
        <v>-341.7540000000011</v>
      </c>
      <c r="AA608" s="876">
        <f t="shared" si="606"/>
        <v>-389.7519999999999</v>
      </c>
      <c r="AB608" s="876">
        <f t="shared" si="606"/>
        <v>840.95299999999952</v>
      </c>
      <c r="AC608" s="876">
        <f t="shared" si="606"/>
        <v>-172.30799999999977</v>
      </c>
      <c r="AD608" s="876">
        <f t="shared" si="606"/>
        <v>1076.3259999999998</v>
      </c>
      <c r="AE608" s="875">
        <f t="shared" si="606"/>
        <v>1355.2189999999996</v>
      </c>
      <c r="AF608" s="876">
        <f t="shared" si="606"/>
        <v>-223.31799999999927</v>
      </c>
      <c r="AG608" s="876">
        <f t="shared" si="606"/>
        <v>1314.5170000000001</v>
      </c>
      <c r="AH608" s="876">
        <f t="shared" si="606"/>
        <v>-835.43</v>
      </c>
      <c r="AI608" s="876">
        <f t="shared" ref="AI608:AY608" si="607">AI605+AI588+AI575+AI607</f>
        <v>733.47699999999929</v>
      </c>
      <c r="AJ608" s="875">
        <f t="shared" si="607"/>
        <v>989.24599999999896</v>
      </c>
      <c r="AK608" s="876">
        <f t="shared" si="607"/>
        <v>-441.94399999999973</v>
      </c>
      <c r="AL608" s="876">
        <f t="shared" si="607"/>
        <v>1658.1079999999993</v>
      </c>
      <c r="AM608" s="876">
        <f t="shared" si="607"/>
        <v>-568.48399999999901</v>
      </c>
      <c r="AN608" s="876">
        <f t="shared" si="607"/>
        <v>584.06499999999733</v>
      </c>
      <c r="AO608" s="875">
        <f t="shared" si="607"/>
        <v>1231.7449999999963</v>
      </c>
      <c r="AP608" s="876">
        <f t="shared" si="607"/>
        <v>134.40100000000029</v>
      </c>
      <c r="AQ608" s="876">
        <f t="shared" si="607"/>
        <v>2001.8590000000002</v>
      </c>
      <c r="AR608" s="876">
        <f>AR605+AR588+AR575+AR607</f>
        <v>1242.2340000000011</v>
      </c>
      <c r="AS608" s="876">
        <f>AS605+AS588+AS575+AS607</f>
        <v>-183.41000000000065</v>
      </c>
      <c r="AT608" s="875">
        <f>AT605+AT588+AT575+AT607</f>
        <v>3195.0839999999998</v>
      </c>
      <c r="AU608" s="876">
        <f t="shared" ref="AU608" si="608">AU605+AU588+AU575+AU607</f>
        <v>197.58299999999977</v>
      </c>
      <c r="AV608" s="876">
        <f>AV605+AV588+AV575+AV607</f>
        <v>-631.83500000000038</v>
      </c>
      <c r="AW608" s="877">
        <f>AW605+AW588+AW575+AW607</f>
        <v>-251.65000000000083</v>
      </c>
      <c r="AX608" s="879">
        <f t="shared" ca="1" si="607"/>
        <v>391.43299030926852</v>
      </c>
      <c r="AY608" s="874">
        <f t="shared" ca="1" si="607"/>
        <v>-294.46900969073374</v>
      </c>
      <c r="AZ608" s="879">
        <f t="shared" ref="AZ608:BG608" ca="1" si="609">AZ605+AZ588+AZ575+AZ607</f>
        <v>927.35473652639917</v>
      </c>
      <c r="BA608" s="879">
        <f t="shared" ca="1" si="609"/>
        <v>864.66443681739861</v>
      </c>
      <c r="BB608" s="879">
        <f t="shared" ca="1" si="609"/>
        <v>1456.1405073675303</v>
      </c>
      <c r="BC608" s="879">
        <f t="shared" ca="1" si="609"/>
        <v>999.09434386968383</v>
      </c>
      <c r="BD608" s="874">
        <f t="shared" ca="1" si="609"/>
        <v>4247.2540245810123</v>
      </c>
      <c r="BE608" s="874">
        <f t="shared" ca="1" si="609"/>
        <v>6694.6742958968835</v>
      </c>
      <c r="BF608" s="874">
        <f t="shared" ca="1" si="609"/>
        <v>9738.8571866480543</v>
      </c>
      <c r="BG608" s="874">
        <f t="shared" ca="1" si="609"/>
        <v>13142.476960272405</v>
      </c>
      <c r="BH608" s="824"/>
    </row>
    <row r="609" spans="1:60" customFormat="1" x14ac:dyDescent="0.25">
      <c r="A609" s="494"/>
      <c r="B609" s="423"/>
      <c r="C609" s="874"/>
      <c r="D609" s="874"/>
      <c r="E609" s="874"/>
      <c r="F609" s="874"/>
      <c r="G609" s="879"/>
      <c r="H609" s="879"/>
      <c r="I609" s="879"/>
      <c r="J609" s="879"/>
      <c r="K609" s="874"/>
      <c r="L609" s="879"/>
      <c r="M609" s="879"/>
      <c r="N609" s="879"/>
      <c r="O609" s="879"/>
      <c r="P609" s="874"/>
      <c r="Q609" s="879"/>
      <c r="R609" s="879"/>
      <c r="S609" s="879"/>
      <c r="T609" s="879"/>
      <c r="U609" s="874"/>
      <c r="V609" s="879"/>
      <c r="W609" s="879"/>
      <c r="X609" s="879"/>
      <c r="Y609" s="879"/>
      <c r="Z609" s="874"/>
      <c r="AA609" s="879"/>
      <c r="AB609" s="879"/>
      <c r="AC609" s="879"/>
      <c r="AD609" s="879"/>
      <c r="AE609" s="874"/>
      <c r="AF609" s="879"/>
      <c r="AG609" s="879"/>
      <c r="AH609" s="879"/>
      <c r="AI609" s="879"/>
      <c r="AJ609" s="874"/>
      <c r="AK609" s="879"/>
      <c r="AL609" s="879"/>
      <c r="AM609" s="879"/>
      <c r="AN609" s="879"/>
      <c r="AO609" s="874"/>
      <c r="AP609" s="879"/>
      <c r="AQ609" s="879"/>
      <c r="AR609" s="879"/>
      <c r="AS609" s="879"/>
      <c r="AT609" s="874"/>
      <c r="AU609" s="879"/>
      <c r="AV609" s="879"/>
      <c r="AW609" s="880"/>
      <c r="AX609" s="879"/>
      <c r="AY609" s="874"/>
      <c r="AZ609" s="879"/>
      <c r="BA609" s="879"/>
      <c r="BB609" s="879"/>
      <c r="BC609" s="879"/>
      <c r="BD609" s="874"/>
      <c r="BE609" s="874"/>
      <c r="BF609" s="874"/>
      <c r="BG609" s="874"/>
      <c r="BH609" s="824"/>
    </row>
    <row r="610" spans="1:60" customFormat="1" x14ac:dyDescent="0.25">
      <c r="A610" s="63" t="str">
        <f>A550</f>
        <v>Beginning Cash Balance</v>
      </c>
      <c r="B610" s="423"/>
      <c r="C610" s="875">
        <f>C550</f>
        <v>139.881</v>
      </c>
      <c r="D610" s="875">
        <f t="shared" ref="D610:J610" si="610">C611</f>
        <v>134.22400000000002</v>
      </c>
      <c r="E610" s="875">
        <f t="shared" si="610"/>
        <v>194.49900000000005</v>
      </c>
      <c r="F610" s="875">
        <f t="shared" si="610"/>
        <v>508.05300000000022</v>
      </c>
      <c r="G610" s="876">
        <f t="shared" si="610"/>
        <v>290.29100000000039</v>
      </c>
      <c r="H610" s="876">
        <f t="shared" si="610"/>
        <v>418.05100000000033</v>
      </c>
      <c r="I610" s="876">
        <f t="shared" si="610"/>
        <v>370.67800000000034</v>
      </c>
      <c r="J610" s="876">
        <f t="shared" si="610"/>
        <v>439.05600000000049</v>
      </c>
      <c r="K610" s="875">
        <f>F611</f>
        <v>290.29100000000039</v>
      </c>
      <c r="L610" s="876">
        <f>K611</f>
        <v>604.9650000000006</v>
      </c>
      <c r="M610" s="876">
        <f>L611</f>
        <v>1157.4500000000007</v>
      </c>
      <c r="N610" s="876">
        <f>M611</f>
        <v>1214.2440000000008</v>
      </c>
      <c r="O610" s="876">
        <f>N611</f>
        <v>1183.2170000000008</v>
      </c>
      <c r="P610" s="875">
        <f>K611</f>
        <v>604.9650000000006</v>
      </c>
      <c r="Q610" s="876">
        <f>P611</f>
        <v>1113.6080000000009</v>
      </c>
      <c r="R610" s="876">
        <f>Q611</f>
        <v>2454.777000000001</v>
      </c>
      <c r="S610" s="876">
        <f>R611</f>
        <v>2293.8720000000008</v>
      </c>
      <c r="T610" s="876">
        <f>S611</f>
        <v>2115.4370000000008</v>
      </c>
      <c r="U610" s="875">
        <f>P611</f>
        <v>1113.6080000000009</v>
      </c>
      <c r="V610" s="876">
        <f>U611</f>
        <v>1809.3300000000011</v>
      </c>
      <c r="W610" s="876">
        <f>V611</f>
        <v>1605.2440000000006</v>
      </c>
      <c r="X610" s="876">
        <f>W611</f>
        <v>1390.9250000000013</v>
      </c>
      <c r="Y610" s="876">
        <f>X611</f>
        <v>969.15800000000092</v>
      </c>
      <c r="Z610" s="875">
        <f>U611</f>
        <v>1809.3300000000011</v>
      </c>
      <c r="AA610" s="876">
        <f>Z611</f>
        <v>1467.576</v>
      </c>
      <c r="AB610" s="876">
        <f>AA611</f>
        <v>1077.8240000000001</v>
      </c>
      <c r="AC610" s="876">
        <f>AB611</f>
        <v>1918.7769999999996</v>
      </c>
      <c r="AD610" s="876">
        <f>AC611</f>
        <v>1746.4689999999998</v>
      </c>
      <c r="AE610" s="875">
        <f>Z611</f>
        <v>1467.576</v>
      </c>
      <c r="AF610" s="876">
        <f>AE611</f>
        <v>2822.7949999999996</v>
      </c>
      <c r="AG610" s="876">
        <f>AF611</f>
        <v>2599.4770000000003</v>
      </c>
      <c r="AH610" s="876">
        <f>AG611</f>
        <v>3913.9940000000006</v>
      </c>
      <c r="AI610" s="876">
        <f>AH611</f>
        <v>3078.5640000000008</v>
      </c>
      <c r="AJ610" s="875">
        <f>AE611</f>
        <v>2822.7949999999996</v>
      </c>
      <c r="AK610" s="876">
        <f>AJ611</f>
        <v>3812.0409999999983</v>
      </c>
      <c r="AL610" s="876">
        <f>AK611</f>
        <v>3370.0969999999988</v>
      </c>
      <c r="AM610" s="876">
        <f>AL611</f>
        <v>5028.2049999999981</v>
      </c>
      <c r="AN610" s="876">
        <f>AM611</f>
        <v>4459.7209999999995</v>
      </c>
      <c r="AO610" s="875">
        <f>AJ611</f>
        <v>3812.0409999999983</v>
      </c>
      <c r="AP610" s="876">
        <f>AO611</f>
        <v>5043.7859999999946</v>
      </c>
      <c r="AQ610" s="876">
        <f>AP611</f>
        <v>5178.1869999999944</v>
      </c>
      <c r="AR610" s="876">
        <f>AQ611</f>
        <v>7180.0459999999948</v>
      </c>
      <c r="AS610" s="876">
        <f>AR611</f>
        <v>8422.2799999999952</v>
      </c>
      <c r="AT610" s="875">
        <f>AO611</f>
        <v>5043.7859999999946</v>
      </c>
      <c r="AU610" s="876">
        <f>AT611</f>
        <v>8238.8699999999953</v>
      </c>
      <c r="AV610" s="876">
        <f>AU611</f>
        <v>8436.4529999999959</v>
      </c>
      <c r="AW610" s="877">
        <f>AV611</f>
        <v>7804.6179999999958</v>
      </c>
      <c r="AX610" s="879">
        <f>AW611</f>
        <v>7552.9679999999953</v>
      </c>
      <c r="AY610" s="874">
        <f>AT611</f>
        <v>8238.8699999999953</v>
      </c>
      <c r="AZ610" s="879">
        <f ca="1">AY611</f>
        <v>7944.4009903092619</v>
      </c>
      <c r="BA610" s="879">
        <f ca="1">AZ611</f>
        <v>8871.7557268356613</v>
      </c>
      <c r="BB610" s="879">
        <f ca="1">BA611</f>
        <v>9736.4201636530597</v>
      </c>
      <c r="BC610" s="879">
        <f ca="1">BB611</f>
        <v>11192.56067102059</v>
      </c>
      <c r="BD610" s="874">
        <f ca="1">AY611</f>
        <v>7944.4009903092619</v>
      </c>
      <c r="BE610" s="874">
        <f ca="1">BD611</f>
        <v>12191.655014890275</v>
      </c>
      <c r="BF610" s="874">
        <f ca="1">BE611</f>
        <v>18886.329310787158</v>
      </c>
      <c r="BG610" s="874">
        <f ca="1">BF611</f>
        <v>28625.186497435214</v>
      </c>
      <c r="BH610" s="824"/>
    </row>
    <row r="611" spans="1:60" customFormat="1" x14ac:dyDescent="0.25">
      <c r="A611" s="63" t="str">
        <f>A551</f>
        <v>Ending Cash Balance</v>
      </c>
      <c r="B611" s="423"/>
      <c r="C611" s="875">
        <f t="shared" ref="C611:AH611" si="611">C610+C608</f>
        <v>134.22400000000002</v>
      </c>
      <c r="D611" s="875">
        <f t="shared" si="611"/>
        <v>194.49900000000005</v>
      </c>
      <c r="E611" s="875">
        <f t="shared" si="611"/>
        <v>508.05300000000022</v>
      </c>
      <c r="F611" s="875">
        <f t="shared" si="611"/>
        <v>290.29100000000039</v>
      </c>
      <c r="G611" s="876">
        <f t="shared" si="611"/>
        <v>418.05100000000033</v>
      </c>
      <c r="H611" s="876">
        <f t="shared" si="611"/>
        <v>370.67800000000034</v>
      </c>
      <c r="I611" s="876">
        <f t="shared" si="611"/>
        <v>439.05600000000049</v>
      </c>
      <c r="J611" s="876">
        <f t="shared" si="611"/>
        <v>604.9650000000006</v>
      </c>
      <c r="K611" s="875">
        <f t="shared" si="611"/>
        <v>604.9650000000006</v>
      </c>
      <c r="L611" s="876">
        <f t="shared" si="611"/>
        <v>1157.4500000000007</v>
      </c>
      <c r="M611" s="876">
        <f t="shared" si="611"/>
        <v>1214.2440000000008</v>
      </c>
      <c r="N611" s="876">
        <f t="shared" si="611"/>
        <v>1183.2170000000008</v>
      </c>
      <c r="O611" s="876">
        <f t="shared" si="611"/>
        <v>1113.6080000000011</v>
      </c>
      <c r="P611" s="875">
        <f t="shared" si="611"/>
        <v>1113.6080000000009</v>
      </c>
      <c r="Q611" s="876">
        <f t="shared" si="611"/>
        <v>2454.777000000001</v>
      </c>
      <c r="R611" s="876">
        <f t="shared" si="611"/>
        <v>2293.8720000000008</v>
      </c>
      <c r="S611" s="876">
        <f t="shared" si="611"/>
        <v>2115.4370000000008</v>
      </c>
      <c r="T611" s="876">
        <f t="shared" si="611"/>
        <v>1809.3300000000008</v>
      </c>
      <c r="U611" s="875">
        <f t="shared" si="611"/>
        <v>1809.3300000000011</v>
      </c>
      <c r="V611" s="876">
        <f t="shared" si="611"/>
        <v>1605.2440000000006</v>
      </c>
      <c r="W611" s="876">
        <f t="shared" si="611"/>
        <v>1390.9250000000013</v>
      </c>
      <c r="X611" s="876">
        <f t="shared" si="611"/>
        <v>969.15800000000092</v>
      </c>
      <c r="Y611" s="876">
        <f t="shared" si="611"/>
        <v>1467.5760000000005</v>
      </c>
      <c r="Z611" s="875">
        <f t="shared" si="611"/>
        <v>1467.576</v>
      </c>
      <c r="AA611" s="876">
        <f t="shared" si="611"/>
        <v>1077.8240000000001</v>
      </c>
      <c r="AB611" s="876">
        <f t="shared" si="611"/>
        <v>1918.7769999999996</v>
      </c>
      <c r="AC611" s="876">
        <f t="shared" si="611"/>
        <v>1746.4689999999998</v>
      </c>
      <c r="AD611" s="876">
        <f t="shared" si="611"/>
        <v>2822.7949999999996</v>
      </c>
      <c r="AE611" s="875">
        <f t="shared" si="611"/>
        <v>2822.7949999999996</v>
      </c>
      <c r="AF611" s="876">
        <f t="shared" si="611"/>
        <v>2599.4770000000003</v>
      </c>
      <c r="AG611" s="876">
        <f t="shared" si="611"/>
        <v>3913.9940000000006</v>
      </c>
      <c r="AH611" s="876">
        <f t="shared" si="611"/>
        <v>3078.5640000000008</v>
      </c>
      <c r="AI611" s="876">
        <f t="shared" ref="AI611:AY611" si="612">AI610+AI608</f>
        <v>3812.0410000000002</v>
      </c>
      <c r="AJ611" s="875">
        <f t="shared" si="612"/>
        <v>3812.0409999999983</v>
      </c>
      <c r="AK611" s="876">
        <f t="shared" si="612"/>
        <v>3370.0969999999988</v>
      </c>
      <c r="AL611" s="876">
        <f t="shared" si="612"/>
        <v>5028.2049999999981</v>
      </c>
      <c r="AM611" s="876">
        <f t="shared" si="612"/>
        <v>4459.7209999999995</v>
      </c>
      <c r="AN611" s="876">
        <f t="shared" si="612"/>
        <v>5043.7859999999964</v>
      </c>
      <c r="AO611" s="875">
        <f t="shared" si="612"/>
        <v>5043.7859999999946</v>
      </c>
      <c r="AP611" s="876">
        <f t="shared" si="612"/>
        <v>5178.1869999999944</v>
      </c>
      <c r="AQ611" s="876">
        <f t="shared" si="612"/>
        <v>7180.0459999999948</v>
      </c>
      <c r="AR611" s="876">
        <f>AR610+AR608</f>
        <v>8422.2799999999952</v>
      </c>
      <c r="AS611" s="876">
        <f>AS610+AS608</f>
        <v>8238.8699999999953</v>
      </c>
      <c r="AT611" s="875">
        <f>AT610+AT608</f>
        <v>8238.8699999999953</v>
      </c>
      <c r="AU611" s="876">
        <f t="shared" ref="AU611" si="613">AU610+AU608</f>
        <v>8436.4529999999959</v>
      </c>
      <c r="AV611" s="876">
        <f>AV610+AV608</f>
        <v>7804.6179999999958</v>
      </c>
      <c r="AW611" s="877">
        <f>AW610+AW608</f>
        <v>7552.9679999999953</v>
      </c>
      <c r="AX611" s="879">
        <f t="shared" ca="1" si="612"/>
        <v>7944.4009903092638</v>
      </c>
      <c r="AY611" s="874">
        <f t="shared" ca="1" si="612"/>
        <v>7944.4009903092619</v>
      </c>
      <c r="AZ611" s="879">
        <f t="shared" ref="AZ611:BG611" ca="1" si="614">AZ610+AZ608</f>
        <v>8871.7557268356613</v>
      </c>
      <c r="BA611" s="879">
        <f t="shared" ca="1" si="614"/>
        <v>9736.4201636530597</v>
      </c>
      <c r="BB611" s="879">
        <f t="shared" ca="1" si="614"/>
        <v>11192.56067102059</v>
      </c>
      <c r="BC611" s="879">
        <f t="shared" ca="1" si="614"/>
        <v>12191.655014890273</v>
      </c>
      <c r="BD611" s="874">
        <f t="shared" ca="1" si="614"/>
        <v>12191.655014890275</v>
      </c>
      <c r="BE611" s="874">
        <f t="shared" ca="1" si="614"/>
        <v>18886.329310787158</v>
      </c>
      <c r="BF611" s="874">
        <f t="shared" ca="1" si="614"/>
        <v>28625.186497435214</v>
      </c>
      <c r="BG611" s="874">
        <f t="shared" ca="1" si="614"/>
        <v>41767.663457707618</v>
      </c>
      <c r="BH611" s="824"/>
    </row>
    <row r="612" spans="1:60" customFormat="1" x14ac:dyDescent="0.25">
      <c r="A612" s="494"/>
      <c r="B612" s="423"/>
      <c r="C612" s="874"/>
      <c r="D612" s="874"/>
      <c r="E612" s="874"/>
      <c r="F612" s="874"/>
      <c r="G612" s="879"/>
      <c r="H612" s="879"/>
      <c r="I612" s="879"/>
      <c r="J612" s="879"/>
      <c r="K612" s="874"/>
      <c r="L612" s="879"/>
      <c r="M612" s="879"/>
      <c r="N612" s="879"/>
      <c r="O612" s="879"/>
      <c r="P612" s="874"/>
      <c r="Q612" s="879"/>
      <c r="R612" s="879"/>
      <c r="S612" s="879"/>
      <c r="T612" s="879"/>
      <c r="U612" s="874"/>
      <c r="V612" s="879"/>
      <c r="W612" s="879"/>
      <c r="X612" s="879"/>
      <c r="Y612" s="879"/>
      <c r="Z612" s="874"/>
      <c r="AA612" s="879"/>
      <c r="AB612" s="879"/>
      <c r="AC612" s="879"/>
      <c r="AD612" s="879"/>
      <c r="AE612" s="874"/>
      <c r="AF612" s="879"/>
      <c r="AG612" s="879"/>
      <c r="AH612" s="879"/>
      <c r="AI612" s="879"/>
      <c r="AJ612" s="874"/>
      <c r="AK612" s="879"/>
      <c r="AL612" s="879"/>
      <c r="AM612" s="879"/>
      <c r="AN612" s="879"/>
      <c r="AO612" s="874"/>
      <c r="AP612" s="879"/>
      <c r="AQ612" s="879"/>
      <c r="AR612" s="879"/>
      <c r="AS612" s="879"/>
      <c r="AT612" s="874"/>
      <c r="AU612" s="879"/>
      <c r="AV612" s="879"/>
      <c r="AW612" s="880"/>
      <c r="AX612" s="879"/>
      <c r="AY612" s="874"/>
      <c r="AZ612" s="879"/>
      <c r="BA612" s="879"/>
      <c r="BB612" s="879"/>
      <c r="BC612" s="879"/>
      <c r="BD612" s="874"/>
      <c r="BE612" s="874"/>
      <c r="BF612" s="874"/>
      <c r="BG612" s="874"/>
      <c r="BH612" s="824"/>
    </row>
    <row r="613" spans="1:60" customFormat="1" x14ac:dyDescent="0.25">
      <c r="A613" s="106" t="s">
        <v>186</v>
      </c>
      <c r="B613" s="106"/>
      <c r="C613" s="942">
        <f t="shared" ref="C613:AE613" si="615">ROUND(C611-C650,6)</f>
        <v>0</v>
      </c>
      <c r="D613" s="942">
        <f t="shared" si="615"/>
        <v>0</v>
      </c>
      <c r="E613" s="942">
        <f t="shared" si="615"/>
        <v>0</v>
      </c>
      <c r="F613" s="942">
        <f t="shared" si="615"/>
        <v>0</v>
      </c>
      <c r="G613" s="942">
        <f t="shared" si="615"/>
        <v>0</v>
      </c>
      <c r="H613" s="942">
        <f t="shared" si="615"/>
        <v>0</v>
      </c>
      <c r="I613" s="942">
        <f t="shared" si="615"/>
        <v>0</v>
      </c>
      <c r="J613" s="942">
        <f t="shared" si="615"/>
        <v>0</v>
      </c>
      <c r="K613" s="942">
        <f t="shared" si="615"/>
        <v>0</v>
      </c>
      <c r="L613" s="942">
        <f t="shared" si="615"/>
        <v>0</v>
      </c>
      <c r="M613" s="942">
        <f t="shared" si="615"/>
        <v>0</v>
      </c>
      <c r="N613" s="942">
        <f t="shared" si="615"/>
        <v>0</v>
      </c>
      <c r="O613" s="942">
        <f t="shared" si="615"/>
        <v>0</v>
      </c>
      <c r="P613" s="942">
        <f t="shared" si="615"/>
        <v>0</v>
      </c>
      <c r="Q613" s="942">
        <f t="shared" si="615"/>
        <v>0</v>
      </c>
      <c r="R613" s="942">
        <f t="shared" si="615"/>
        <v>0</v>
      </c>
      <c r="S613" s="942">
        <f t="shared" si="615"/>
        <v>0</v>
      </c>
      <c r="T613" s="942">
        <f t="shared" si="615"/>
        <v>0</v>
      </c>
      <c r="U613" s="942">
        <f t="shared" si="615"/>
        <v>0</v>
      </c>
      <c r="V613" s="942">
        <f t="shared" si="615"/>
        <v>0</v>
      </c>
      <c r="W613" s="942">
        <f t="shared" si="615"/>
        <v>0</v>
      </c>
      <c r="X613" s="942">
        <f t="shared" si="615"/>
        <v>0</v>
      </c>
      <c r="Y613" s="942">
        <f t="shared" si="615"/>
        <v>0</v>
      </c>
      <c r="Z613" s="942">
        <f t="shared" si="615"/>
        <v>0</v>
      </c>
      <c r="AA613" s="942">
        <f t="shared" si="615"/>
        <v>0</v>
      </c>
      <c r="AB613" s="942">
        <f t="shared" si="615"/>
        <v>0</v>
      </c>
      <c r="AC613" s="942">
        <f t="shared" si="615"/>
        <v>0</v>
      </c>
      <c r="AD613" s="942">
        <f t="shared" si="615"/>
        <v>0</v>
      </c>
      <c r="AE613" s="942">
        <f t="shared" si="615"/>
        <v>0</v>
      </c>
      <c r="AF613" s="942">
        <f t="shared" ref="AF613:AM613" si="616">ROUND(AF611-AF650-AF671,6)</f>
        <v>0</v>
      </c>
      <c r="AG613" s="942">
        <f t="shared" si="616"/>
        <v>0</v>
      </c>
      <c r="AH613" s="942">
        <f t="shared" si="616"/>
        <v>0</v>
      </c>
      <c r="AI613" s="942">
        <f t="shared" si="616"/>
        <v>0</v>
      </c>
      <c r="AJ613" s="942">
        <f t="shared" si="616"/>
        <v>0</v>
      </c>
      <c r="AK613" s="942">
        <f t="shared" si="616"/>
        <v>0</v>
      </c>
      <c r="AL613" s="942">
        <f t="shared" si="616"/>
        <v>0</v>
      </c>
      <c r="AM613" s="942">
        <f t="shared" si="616"/>
        <v>0</v>
      </c>
      <c r="AN613" s="942">
        <f t="shared" ref="AN613:AY613" si="617">ROUND(AN611-AN650-AN671-AN657,6)</f>
        <v>0</v>
      </c>
      <c r="AO613" s="942">
        <f t="shared" si="617"/>
        <v>0</v>
      </c>
      <c r="AP613" s="942">
        <f t="shared" si="617"/>
        <v>0</v>
      </c>
      <c r="AQ613" s="942">
        <f t="shared" si="617"/>
        <v>0</v>
      </c>
      <c r="AR613" s="942">
        <f t="shared" si="617"/>
        <v>0</v>
      </c>
      <c r="AS613" s="942">
        <f>ROUND(AS611-AS650-AS671-AS657,6)</f>
        <v>0</v>
      </c>
      <c r="AT613" s="942">
        <f>ROUND(AT611-AT650-AT671-AT657,6)</f>
        <v>0</v>
      </c>
      <c r="AU613" s="942">
        <f t="shared" ref="AU613" si="618">ROUND(AU611-AU650-AU671-AU657,6)</f>
        <v>0</v>
      </c>
      <c r="AV613" s="942">
        <f>ROUND(AV611-AV650-AV671-AV657,6)</f>
        <v>0</v>
      </c>
      <c r="AW613" s="943">
        <f>ROUND(AW611-AW650-AW671-AW657,6)</f>
        <v>0</v>
      </c>
      <c r="AX613" s="942">
        <f t="shared" ca="1" si="617"/>
        <v>0</v>
      </c>
      <c r="AY613" s="942">
        <f t="shared" ca="1" si="617"/>
        <v>0</v>
      </c>
      <c r="AZ613" s="942">
        <f t="shared" ref="AZ613:BG613" ca="1" si="619">ROUND(AZ611-AZ650-AZ671-AZ657,6)</f>
        <v>0</v>
      </c>
      <c r="BA613" s="942">
        <f t="shared" ca="1" si="619"/>
        <v>0</v>
      </c>
      <c r="BB613" s="942">
        <f t="shared" ca="1" si="619"/>
        <v>0</v>
      </c>
      <c r="BC613" s="942">
        <f t="shared" ca="1" si="619"/>
        <v>0</v>
      </c>
      <c r="BD613" s="942">
        <f t="shared" ca="1" si="619"/>
        <v>0</v>
      </c>
      <c r="BE613" s="942">
        <f t="shared" ca="1" si="619"/>
        <v>0</v>
      </c>
      <c r="BF613" s="942">
        <f t="shared" ca="1" si="619"/>
        <v>0</v>
      </c>
      <c r="BG613" s="942">
        <f t="shared" ca="1" si="619"/>
        <v>0</v>
      </c>
      <c r="BH613" s="821"/>
    </row>
    <row r="614" spans="1:60" customFormat="1" x14ac:dyDescent="0.25">
      <c r="A614" s="494"/>
      <c r="B614" s="423"/>
      <c r="C614" s="874"/>
      <c r="D614" s="874"/>
      <c r="E614" s="874"/>
      <c r="F614" s="874"/>
      <c r="G614" s="879"/>
      <c r="H614" s="879"/>
      <c r="I614" s="879"/>
      <c r="J614" s="879"/>
      <c r="K614" s="874"/>
      <c r="L614" s="879"/>
      <c r="M614" s="879"/>
      <c r="N614" s="879"/>
      <c r="O614" s="879"/>
      <c r="P614" s="874"/>
      <c r="Q614" s="879"/>
      <c r="R614" s="879"/>
      <c r="S614" s="879"/>
      <c r="T614" s="879"/>
      <c r="U614" s="874"/>
      <c r="V614" s="879"/>
      <c r="W614" s="879"/>
      <c r="X614" s="879"/>
      <c r="Y614" s="879"/>
      <c r="Z614" s="874"/>
      <c r="AA614" s="879"/>
      <c r="AB614" s="879"/>
      <c r="AC614" s="879"/>
      <c r="AD614" s="879"/>
      <c r="AE614" s="874"/>
      <c r="AF614" s="879"/>
      <c r="AG614" s="879"/>
      <c r="AH614" s="879"/>
      <c r="AI614" s="879"/>
      <c r="AJ614" s="874"/>
      <c r="AK614" s="879"/>
      <c r="AL614" s="879"/>
      <c r="AM614" s="879"/>
      <c r="AN614" s="879"/>
      <c r="AO614" s="874"/>
      <c r="AP614" s="879"/>
      <c r="AQ614" s="879"/>
      <c r="AR614" s="879"/>
      <c r="AS614" s="879"/>
      <c r="AT614" s="874"/>
      <c r="AU614" s="879"/>
      <c r="AV614" s="879"/>
      <c r="AW614" s="880"/>
      <c r="AX614" s="879"/>
      <c r="AY614" s="874"/>
      <c r="AZ614" s="879"/>
      <c r="BA614" s="879"/>
      <c r="BB614" s="879"/>
      <c r="BC614" s="879"/>
      <c r="BD614" s="874"/>
      <c r="BE614" s="874"/>
      <c r="BF614" s="874"/>
      <c r="BG614" s="874"/>
      <c r="BH614" s="824"/>
    </row>
    <row r="615" spans="1:60" customFormat="1" x14ac:dyDescent="0.25">
      <c r="A615" s="290" t="s">
        <v>187</v>
      </c>
      <c r="B615" s="291"/>
      <c r="C615" s="861"/>
      <c r="D615" s="861"/>
      <c r="E615" s="861"/>
      <c r="F615" s="861"/>
      <c r="G615" s="861"/>
      <c r="H615" s="861"/>
      <c r="I615" s="861"/>
      <c r="J615" s="861"/>
      <c r="K615" s="861"/>
      <c r="L615" s="861"/>
      <c r="M615" s="861"/>
      <c r="N615" s="861"/>
      <c r="O615" s="861"/>
      <c r="P615" s="861"/>
      <c r="Q615" s="861"/>
      <c r="R615" s="861"/>
      <c r="S615" s="861"/>
      <c r="T615" s="861"/>
      <c r="U615" s="861"/>
      <c r="V615" s="861"/>
      <c r="W615" s="861"/>
      <c r="X615" s="861"/>
      <c r="Y615" s="861"/>
      <c r="Z615" s="861"/>
      <c r="AA615" s="861"/>
      <c r="AB615" s="861"/>
      <c r="AC615" s="861"/>
      <c r="AD615" s="861"/>
      <c r="AE615" s="861"/>
      <c r="AF615" s="861"/>
      <c r="AG615" s="861"/>
      <c r="AH615" s="861"/>
      <c r="AI615" s="861"/>
      <c r="AJ615" s="861"/>
      <c r="AK615" s="861"/>
      <c r="AL615" s="861"/>
      <c r="AM615" s="861"/>
      <c r="AN615" s="861"/>
      <c r="AO615" s="861"/>
      <c r="AP615" s="861"/>
      <c r="AQ615" s="861"/>
      <c r="AR615" s="861"/>
      <c r="AS615" s="861"/>
      <c r="AT615" s="861"/>
      <c r="AU615" s="861"/>
      <c r="AV615" s="861"/>
      <c r="AW615" s="862"/>
      <c r="AX615" s="861"/>
      <c r="AY615" s="861"/>
      <c r="AZ615" s="861"/>
      <c r="BA615" s="861"/>
      <c r="BB615" s="861"/>
      <c r="BC615" s="861"/>
      <c r="BD615" s="861"/>
      <c r="BE615" s="861"/>
      <c r="BF615" s="861"/>
      <c r="BG615" s="861"/>
      <c r="BH615" s="824"/>
    </row>
    <row r="616" spans="1:60" s="416" customFormat="1" x14ac:dyDescent="0.25">
      <c r="A616" s="180" t="s">
        <v>188</v>
      </c>
      <c r="B616" s="514"/>
      <c r="C616" s="16">
        <f>C658/C$379</f>
        <v>1.5986047756379362E-2</v>
      </c>
      <c r="D616" s="16">
        <f>D658/D$379</f>
        <v>2.0170394774868507E-2</v>
      </c>
      <c r="E616" s="16">
        <f>E658/E$379</f>
        <v>1.7890036656944112E-2</v>
      </c>
      <c r="F616" s="16">
        <f>F658/F$379</f>
        <v>3.4508525518371795E-2</v>
      </c>
      <c r="G616" s="370"/>
      <c r="H616" s="370"/>
      <c r="I616" s="370"/>
      <c r="J616" s="370"/>
      <c r="K616" s="16">
        <f>K658/K$379</f>
        <v>3.4731934305651635E-2</v>
      </c>
      <c r="L616" s="70">
        <f>L658/(L$379+J$379+I$379+H$379)</f>
        <v>3.1841781205837229E-2</v>
      </c>
      <c r="M616" s="70">
        <f>M658/(M$379+L$379+J$379+I$379)</f>
        <v>3.4277069949762103E-2</v>
      </c>
      <c r="N616" s="70">
        <f>N658/(N$379+M$379+L$379+J$379)</f>
        <v>2.8811828244684763E-2</v>
      </c>
      <c r="O616" s="70">
        <f>O658/(O$379+N$379+M$379+L$379)</f>
        <v>3.7472096348981659E-2</v>
      </c>
      <c r="P616" s="16">
        <f>P658/P$379</f>
        <v>3.7472096348981659E-2</v>
      </c>
      <c r="Q616" s="70">
        <f>Q658/(Q$379+O$379+N$379+M$379)</f>
        <v>3.6314056383116473E-2</v>
      </c>
      <c r="R616" s="70">
        <f>R658/(R$379+Q$379+O$379+N$379)</f>
        <v>4.7906874086528058E-2</v>
      </c>
      <c r="S616" s="70">
        <f>S658/(S$379+R$379+Q$379+O$379)</f>
        <v>4.1125736037756176E-2</v>
      </c>
      <c r="T616" s="70">
        <f>T658/(T$379+S$379+R$379+Q$379)</f>
        <v>3.1731934648383933E-2</v>
      </c>
      <c r="U616" s="16">
        <f>U658/U$379</f>
        <v>3.1731934648383933E-2</v>
      </c>
      <c r="V616" s="70">
        <f>V658/(V$379+T$379+S$379+R$379)</f>
        <v>2.9692978256360376E-2</v>
      </c>
      <c r="W616" s="70">
        <f>W658/(W$379+V$379+T$379+S$379)</f>
        <v>2.6680383620027098E-2</v>
      </c>
      <c r="X616" s="70">
        <f>X658/(X$379+W$379+V$379+T$379)</f>
        <v>2.6691009716795566E-2</v>
      </c>
      <c r="Y616" s="70">
        <f>Y658/(Y$379+X$379+W$379+V$379)</f>
        <v>2.9465717716290803E-2</v>
      </c>
      <c r="Z616" s="16">
        <f>Z658/Z$379</f>
        <v>2.9465717716290803E-2</v>
      </c>
      <c r="AA616" s="70">
        <f>AA658/(AA$379+Y$379+X$379+W$379)</f>
        <v>3.0757022821646579E-2</v>
      </c>
      <c r="AB616" s="70">
        <f>AB658/(AB$379+AA$379+Y$379+X$379)</f>
        <v>3.7956676010625502E-2</v>
      </c>
      <c r="AC616" s="70">
        <f>AC658/(AC$379+AB$379+AA$379+Y$379)</f>
        <v>3.8172818059884983E-2</v>
      </c>
      <c r="AD616" s="70">
        <f>AD658/(AD$379+AC$379+AB$379+AA$379)</f>
        <v>4.5861469446825558E-2</v>
      </c>
      <c r="AE616" s="16">
        <f>AE658/AE$379</f>
        <v>4.5861469446825558E-2</v>
      </c>
      <c r="AF616" s="70">
        <f>AF658/(AF$379+AD$379+AC$379+AB$379)</f>
        <v>4.6828493429534095E-2</v>
      </c>
      <c r="AG616" s="70">
        <f>AG658/(AG$379+AF$379+AD$379+AC$379)</f>
        <v>4.5888099351958464E-2</v>
      </c>
      <c r="AH616" s="70">
        <f>AH658/(AH$379+AG$379+AF$379+AD$379)</f>
        <v>4.5291039467195045E-2</v>
      </c>
      <c r="AI616" s="70">
        <f>AI658/(AI$379+AH$379+AG$379+AF$379)</f>
        <v>4.7388238610271867E-2</v>
      </c>
      <c r="AJ616" s="16">
        <f>AJ658/AJ$379</f>
        <v>4.7388238610271867E-2</v>
      </c>
      <c r="AK616" s="70">
        <f>AK658/(AK$379+AI$379+AH$379+AG$379)</f>
        <v>4.937561380957102E-2</v>
      </c>
      <c r="AL616" s="70">
        <f>AL658/(AL$379+AK$379+AI$379+AH$379)</f>
        <v>4.9511855228063603E-2</v>
      </c>
      <c r="AM616" s="70">
        <f>AM658/(AM$379+AL$379+AK$379+AI$379)</f>
        <v>4.7295343564322974E-2</v>
      </c>
      <c r="AN616" s="70">
        <f>AN658/(AN$379+AM$379+AL$379+AK$379)</f>
        <v>5.7460722120322098E-2</v>
      </c>
      <c r="AO616" s="16">
        <f>AO658/AO$379</f>
        <v>5.7460722120322098E-2</v>
      </c>
      <c r="AP616" s="70">
        <f>AP658/(AP$379+AN$379+AM$379+AL$379)</f>
        <v>6.0429574231750792E-2</v>
      </c>
      <c r="AQ616" s="70">
        <f>AQ658/(AQ$379+AP$379+AN$379+AM$379)</f>
        <v>6.2240955093609274E-2</v>
      </c>
      <c r="AR616" s="70">
        <f>AR658/(AR$379+AQ$379+AP$379+AN$379)</f>
        <v>6.0091738343194909E-2</v>
      </c>
      <c r="AS616" s="70">
        <f>AS658/(AS$379+AR$379+AQ$379+AP$379)</f>
        <v>6.2179689467810446E-2</v>
      </c>
      <c r="AT616" s="16">
        <f>AT658/AT$379</f>
        <v>6.2179689467810446E-2</v>
      </c>
      <c r="AU616" s="70">
        <f>AU658/(AU$379+AS$379+AR$379+AQ$379)</f>
        <v>6.4476612619136647E-2</v>
      </c>
      <c r="AV616" s="70">
        <f>AV658/(AV$379+AU$379+AS$379+AR$379)</f>
        <v>6.6124628414039474E-2</v>
      </c>
      <c r="AW616" s="585">
        <f>AW658/(AW$379+AV$379+AU$379+AS$379)</f>
        <v>6.5907453254584011E-2</v>
      </c>
      <c r="AX616" s="70">
        <f t="shared" ref="AX616:AX619" si="620">AS616+AX621</f>
        <v>6.2179689467810446E-2</v>
      </c>
      <c r="AY616" s="16">
        <f>AY658/AY$379</f>
        <v>6.2179689467810433E-2</v>
      </c>
      <c r="AZ616" s="70">
        <f t="shared" ref="AZ616:BC619" si="621">AU616+AZ621</f>
        <v>6.4476612619136647E-2</v>
      </c>
      <c r="BA616" s="70">
        <f t="shared" si="621"/>
        <v>6.6124628414039474E-2</v>
      </c>
      <c r="BB616" s="70">
        <f t="shared" si="621"/>
        <v>6.5907453254584011E-2</v>
      </c>
      <c r="BC616" s="70">
        <f t="shared" si="621"/>
        <v>6.2179689467810446E-2</v>
      </c>
      <c r="BD616" s="16">
        <f>BD658/BD$379</f>
        <v>6.2179689467810446E-2</v>
      </c>
      <c r="BE616" s="16">
        <f t="shared" ref="BE616:BG619" si="622">BD616+BE621</f>
        <v>6.2179689467810446E-2</v>
      </c>
      <c r="BF616" s="16">
        <f t="shared" si="622"/>
        <v>6.2179689467810446E-2</v>
      </c>
      <c r="BG616" s="16">
        <f t="shared" si="622"/>
        <v>6.2179689467810446E-2</v>
      </c>
      <c r="BH616" s="70"/>
    </row>
    <row r="617" spans="1:60" s="416" customFormat="1" x14ac:dyDescent="0.25">
      <c r="A617" s="180" t="s">
        <v>189</v>
      </c>
      <c r="B617" s="514"/>
      <c r="C617" s="16">
        <f>C678/C$379</f>
        <v>5.5405446667572709E-2</v>
      </c>
      <c r="D617" s="16">
        <f>D678/D$379</f>
        <v>2.5029304664470262E-2</v>
      </c>
      <c r="E617" s="16">
        <f>E678/E$379</f>
        <v>2.7146172490160166E-2</v>
      </c>
      <c r="F617" s="16">
        <f>F678/F$379</f>
        <v>2.395711944924226E-2</v>
      </c>
      <c r="G617" s="370"/>
      <c r="H617" s="370"/>
      <c r="I617" s="370"/>
      <c r="J617" s="370"/>
      <c r="K617" s="16">
        <f>K678/K$379</f>
        <v>2.478762445245947E-2</v>
      </c>
      <c r="L617" s="70">
        <f>L678/(L$379+J$379+I$379+H$379)</f>
        <v>2.8974676942188294E-2</v>
      </c>
      <c r="M617" s="70">
        <f>M678/(M$379+L$379+J$379+I$379)</f>
        <v>2.8052680802784297E-2</v>
      </c>
      <c r="N617" s="70">
        <f>N678/(N$379+M$379+L$379+J$379)</f>
        <v>2.8945029198341996E-2</v>
      </c>
      <c r="O617" s="70">
        <f>O678/(O$379+N$379+M$379+L$379)</f>
        <v>3.662009033807017E-2</v>
      </c>
      <c r="P617" s="16">
        <f>P678/P$379</f>
        <v>3.662009033807017E-2</v>
      </c>
      <c r="Q617" s="70">
        <f>Q678/(Q$379+O$379+N$379+M$379)</f>
        <v>3.2812840066008965E-2</v>
      </c>
      <c r="R617" s="70">
        <f>R678/(R$379+Q$379+O$379+N$379)</f>
        <v>3.4641621221786781E-2</v>
      </c>
      <c r="S617" s="70">
        <f>S678/(S$379+R$379+Q$379+O$379)</f>
        <v>3.2505520186135305E-2</v>
      </c>
      <c r="T617" s="70">
        <f>T678/(T$379+S$379+R$379+Q$379)</f>
        <v>3.7390749863817609E-2</v>
      </c>
      <c r="U617" s="16">
        <f>U678/U$379</f>
        <v>3.7390749863817609E-2</v>
      </c>
      <c r="V617" s="70">
        <f>V678/(V$379+T$379+S$379+R$379)</f>
        <v>3.2371605269483274E-2</v>
      </c>
      <c r="W617" s="70">
        <f>W678/(W$379+V$379+T$379+S$379)</f>
        <v>3.1537014002519202E-2</v>
      </c>
      <c r="X617" s="70">
        <f>X678/(X$379+W$379+V$379+T$379)</f>
        <v>3.4948249615573287E-2</v>
      </c>
      <c r="Y617" s="70">
        <f>Y678/(Y$379+X$379+W$379+V$379)</f>
        <v>3.542676098492651E-2</v>
      </c>
      <c r="Z617" s="16">
        <f>Z678/Z$379</f>
        <v>3.542676098492651E-2</v>
      </c>
      <c r="AA617" s="70">
        <f>AA678/(AA$379+Y$379+X$379+W$379)</f>
        <v>3.1003616568071234E-2</v>
      </c>
      <c r="AB617" s="70">
        <f>AB678/(AB$379+AA$379+Y$379+X$379)</f>
        <v>2.6830482320211884E-2</v>
      </c>
      <c r="AC617" s="70">
        <f>AC678/(AC$379+AB$379+AA$379+Y$379)</f>
        <v>2.7694706021838947E-2</v>
      </c>
      <c r="AD617" s="70">
        <f>AD678/(AD$379+AC$379+AB$379+AA$379)</f>
        <v>3.0750348529036846E-2</v>
      </c>
      <c r="AE617" s="16">
        <f>AE678/AE$379</f>
        <v>3.0750348529036846E-2</v>
      </c>
      <c r="AF617" s="70">
        <f>AF678/(AF$379+AD$379+AC$379+AB$379)</f>
        <v>3.4191836376985252E-2</v>
      </c>
      <c r="AG617" s="70">
        <f>AG678/(AG$379+AF$379+AD$379+AC$379)</f>
        <v>3.2295366870479597E-2</v>
      </c>
      <c r="AH617" s="70">
        <f>AH678/(AH$379+AG$379+AF$379+AD$379)</f>
        <v>2.9639390448897844E-2</v>
      </c>
      <c r="AI617" s="70">
        <f>AI678/(AI$379+AH$379+AG$379+AF$379)</f>
        <v>3.564472870378068E-2</v>
      </c>
      <c r="AJ617" s="16">
        <f>AJ678/AJ$379</f>
        <v>3.564472870378068E-2</v>
      </c>
      <c r="AK617" s="70">
        <f>AK678/(AK$379+AI$379+AH$379+AG$379)</f>
        <v>2.6452593121047387E-2</v>
      </c>
      <c r="AL617" s="70">
        <f>AL678/(AL$379+AK$379+AI$379+AH$379)</f>
        <v>2.508144632404069E-2</v>
      </c>
      <c r="AM617" s="70">
        <f>AM678/(AM$379+AL$379+AK$379+AI$379)</f>
        <v>2.3528948676971119E-2</v>
      </c>
      <c r="AN617" s="70">
        <f>AN678/(AN$379+AM$379+AL$379+AK$379)</f>
        <v>3.345564821022276E-2</v>
      </c>
      <c r="AO617" s="16">
        <f>AO678/AO$379</f>
        <v>3.345564821022276E-2</v>
      </c>
      <c r="AP617" s="70">
        <f>AP678/(AP$379+AN$379+AM$379+AL$379)</f>
        <v>2.5486346726784934E-2</v>
      </c>
      <c r="AQ617" s="70">
        <f>AQ678/(AQ$379+AP$379+AN$379+AM$379)</f>
        <v>1.9739338976881887E-2</v>
      </c>
      <c r="AR617" s="70">
        <f>AR678/(AR$379+AQ$379+AP$379+AN$379)</f>
        <v>2.2725425466206713E-2</v>
      </c>
      <c r="AS617" s="70">
        <f>AS678/(AS$379+AR$379+AQ$379+AP$379)</f>
        <v>2.6251461430555283E-2</v>
      </c>
      <c r="AT617" s="16">
        <f>AT678/AT$379</f>
        <v>2.6251461430555283E-2</v>
      </c>
      <c r="AU617" s="70">
        <f>AU678/(AU$379+AS$379+AR$379+AQ$379)</f>
        <v>2.0193586250983123E-2</v>
      </c>
      <c r="AV617" s="70">
        <f>AV678/(AV$379+AU$379+AS$379+AR$379)</f>
        <v>2.2582123750840035E-2</v>
      </c>
      <c r="AW617" s="585">
        <f>AW678/(AW$379+AV$379+AU$379+AS$379)</f>
        <v>2.245869167317897E-2</v>
      </c>
      <c r="AX617" s="70">
        <f t="shared" si="620"/>
        <v>2.6251461430555283E-2</v>
      </c>
      <c r="AY617" s="16">
        <f>AY678/AY$379</f>
        <v>2.6251461430555279E-2</v>
      </c>
      <c r="AZ617" s="70">
        <f t="shared" si="621"/>
        <v>2.0193586250983123E-2</v>
      </c>
      <c r="BA617" s="70">
        <f t="shared" si="621"/>
        <v>2.2582123750840035E-2</v>
      </c>
      <c r="BB617" s="70">
        <f t="shared" si="621"/>
        <v>2.245869167317897E-2</v>
      </c>
      <c r="BC617" s="70">
        <f t="shared" si="621"/>
        <v>2.6251461430555283E-2</v>
      </c>
      <c r="BD617" s="16">
        <f>BD678/BD$379</f>
        <v>2.6251461430555283E-2</v>
      </c>
      <c r="BE617" s="16">
        <f t="shared" si="622"/>
        <v>2.6251461430555283E-2</v>
      </c>
      <c r="BF617" s="16">
        <f t="shared" si="622"/>
        <v>2.6251461430555283E-2</v>
      </c>
      <c r="BG617" s="16">
        <f t="shared" si="622"/>
        <v>2.6251461430555283E-2</v>
      </c>
      <c r="BH617" s="70"/>
    </row>
    <row r="618" spans="1:60" s="416" customFormat="1" x14ac:dyDescent="0.25">
      <c r="A618" s="180" t="s">
        <v>190</v>
      </c>
      <c r="B618" s="514"/>
      <c r="C618" s="16">
        <f>C681/C$379</f>
        <v>1.9988995784511358E-2</v>
      </c>
      <c r="D618" s="16">
        <f>D681/D$379</f>
        <v>1.7835732038610486E-2</v>
      </c>
      <c r="E618" s="16">
        <f>E681/E$379</f>
        <v>1.6922982346812075E-2</v>
      </c>
      <c r="F618" s="16">
        <f>F681/F$379</f>
        <v>1.4722872859477314E-2</v>
      </c>
      <c r="G618" s="370"/>
      <c r="H618" s="370"/>
      <c r="I618" s="370"/>
      <c r="J618" s="370"/>
      <c r="K618" s="16">
        <f>K681/K$379</f>
        <v>1.2348207660561219E-2</v>
      </c>
      <c r="L618" s="70">
        <f>L681/(L$379+J$379+I$379+H$379)</f>
        <v>1.1872252845354266E-2</v>
      </c>
      <c r="M618" s="70">
        <f>M681/(M$379+L$379+J$379+I$379)</f>
        <v>2.0145858567274327E-2</v>
      </c>
      <c r="N618" s="70">
        <f>N681/(N$379+M$379+L$379+J$379)</f>
        <v>1.3581685099856444E-2</v>
      </c>
      <c r="O618" s="70">
        <f>O681/(O$379+N$379+M$379+L$379)</f>
        <v>1.2670364869303367E-2</v>
      </c>
      <c r="P618" s="16">
        <f>P681/P$379</f>
        <v>1.2670364869303367E-2</v>
      </c>
      <c r="Q618" s="70">
        <f>Q681/(Q$379+O$379+N$379+M$379)</f>
        <v>1.8479445205120928E-2</v>
      </c>
      <c r="R618" s="70">
        <f>R681/(R$379+Q$379+O$379+N$379)</f>
        <v>2.4608379964407626E-2</v>
      </c>
      <c r="S618" s="70">
        <f>S681/(S$379+R$379+Q$379+O$379)</f>
        <v>2.7845461492529155E-2</v>
      </c>
      <c r="T618" s="70">
        <f>T681/(T$379+S$379+R$379+Q$379)</f>
        <v>2.070783571263473E-2</v>
      </c>
      <c r="U618" s="16">
        <f>U681/U$379</f>
        <v>2.070783571263473E-2</v>
      </c>
      <c r="V618" s="70">
        <f>V681/(V$379+T$379+S$379+R$379)</f>
        <v>2.5353295409148758E-2</v>
      </c>
      <c r="W618" s="70">
        <f>W681/(W$379+V$379+T$379+S$379)</f>
        <v>2.2568051844627696E-2</v>
      </c>
      <c r="X618" s="70">
        <f>X681/(X$379+W$379+V$379+T$379)</f>
        <v>2.461113677421075E-2</v>
      </c>
      <c r="Y618" s="70">
        <f>Y681/(Y$379+X$379+W$379+V$379)</f>
        <v>2.2380184332580013E-2</v>
      </c>
      <c r="Z618" s="16">
        <f>Z681/Z$379</f>
        <v>2.2380184332580013E-2</v>
      </c>
      <c r="AA618" s="70">
        <f>AA681/(AA$379+Y$379+X$379+W$379)</f>
        <v>3.115367596088487E-2</v>
      </c>
      <c r="AB618" s="70">
        <f>AB681/(AB$379+AA$379+Y$379+X$379)</f>
        <v>2.4423474076304331E-2</v>
      </c>
      <c r="AC618" s="70">
        <f>AC681/(AC$379+AB$379+AA$379+Y$379)</f>
        <v>3.0476643895139318E-2</v>
      </c>
      <c r="AD618" s="70">
        <f>AD681/(AD$379+AC$379+AB$379+AA$379)</f>
        <v>2.6947894812777838E-2</v>
      </c>
      <c r="AE618" s="16">
        <f>AE681/AE$379</f>
        <v>2.6947894812777838E-2</v>
      </c>
      <c r="AF618" s="70">
        <f>AF681/(AF$379+AD$379+AC$379+AB$379)</f>
        <v>3.3662555595255099E-2</v>
      </c>
      <c r="AG618" s="70">
        <f>AG681/(AG$379+AF$379+AD$379+AC$379)</f>
        <v>2.8287510249489511E-2</v>
      </c>
      <c r="AH618" s="70">
        <f>AH681/(AH$379+AG$379+AF$379+AD$379)</f>
        <v>3.539045024072978E-2</v>
      </c>
      <c r="AI618" s="70">
        <f>AI681/(AI$379+AH$379+AG$379+AF$379)</f>
        <v>3.0227092095833564E-2</v>
      </c>
      <c r="AJ618" s="16">
        <f>AJ681/AJ$379</f>
        <v>3.0227092095833564E-2</v>
      </c>
      <c r="AK618" s="70">
        <f>AK681/(AK$379+AI$379+AH$379+AG$379)</f>
        <v>4.4916731354228009E-2</v>
      </c>
      <c r="AL618" s="70">
        <f>AL681/(AL$379+AK$379+AI$379+AH$379)</f>
        <v>4.258640071426939E-2</v>
      </c>
      <c r="AM618" s="70">
        <f>AM681/(AM$379+AL$379+AK$379+AI$379)</f>
        <v>5.4976214586105611E-2</v>
      </c>
      <c r="AN618" s="70">
        <f>AN681/(AN$379+AM$379+AL$379+AK$379)</f>
        <v>4.182498036484307E-2</v>
      </c>
      <c r="AO618" s="16">
        <f>AO681/AO$379</f>
        <v>4.182498036484307E-2</v>
      </c>
      <c r="AP618" s="70">
        <f>AP681/(AP$379+AN$379+AM$379+AL$379)</f>
        <v>4.9576356672051854E-2</v>
      </c>
      <c r="AQ618" s="70">
        <f>AQ681/(AQ$379+AP$379+AN$379+AM$379)</f>
        <v>4.3600018666877377E-2</v>
      </c>
      <c r="AR618" s="70">
        <f>AR681/(AR$379+AQ$379+AP$379+AN$379)</f>
        <v>5.2862062329275296E-2</v>
      </c>
      <c r="AS618" s="70">
        <f>AS681/(AS$379+AR$379+AQ$379+AP$379)</f>
        <v>4.409479639507928E-2</v>
      </c>
      <c r="AT618" s="16">
        <f>AT681/AT$379</f>
        <v>4.409479639507928E-2</v>
      </c>
      <c r="AU618" s="70">
        <f>AU681/(AU$379+AS$379+AR$379+AQ$379)</f>
        <v>4.8947759872659702E-2</v>
      </c>
      <c r="AV618" s="70">
        <f>AV681/(AV$379+AU$379+AS$379+AR$379)</f>
        <v>4.0804254812863351E-2</v>
      </c>
      <c r="AW618" s="585">
        <f>AW681/(AW$379+AV$379+AU$379+AS$379)</f>
        <v>4.9352899776229968E-2</v>
      </c>
      <c r="AX618" s="70">
        <f t="shared" si="620"/>
        <v>4.409479639507928E-2</v>
      </c>
      <c r="AY618" s="16">
        <f>AY681/AY$379</f>
        <v>4.4094796395079273E-2</v>
      </c>
      <c r="AZ618" s="70">
        <f t="shared" si="621"/>
        <v>4.8947759872659702E-2</v>
      </c>
      <c r="BA618" s="70">
        <f t="shared" si="621"/>
        <v>4.0804254812863351E-2</v>
      </c>
      <c r="BB618" s="70">
        <f t="shared" si="621"/>
        <v>4.9352899776229968E-2</v>
      </c>
      <c r="BC618" s="70">
        <f t="shared" si="621"/>
        <v>4.409479639507928E-2</v>
      </c>
      <c r="BD618" s="16">
        <f>BD681/BD$379</f>
        <v>4.409479639507928E-2</v>
      </c>
      <c r="BE618" s="16">
        <f t="shared" si="622"/>
        <v>4.409479639507928E-2</v>
      </c>
      <c r="BF618" s="16">
        <f t="shared" si="622"/>
        <v>4.409479639507928E-2</v>
      </c>
      <c r="BG618" s="16">
        <f t="shared" si="622"/>
        <v>4.409479639507928E-2</v>
      </c>
      <c r="BH618" s="70"/>
    </row>
    <row r="619" spans="1:60" s="416" customFormat="1" x14ac:dyDescent="0.25">
      <c r="A619" s="180" t="s">
        <v>191</v>
      </c>
      <c r="B619" s="514"/>
      <c r="C619" s="16">
        <f>C684/C$379</f>
        <v>5.992867017228961E-2</v>
      </c>
      <c r="D619" s="16">
        <f>D684/D$379</f>
        <v>5.8809548581006885E-2</v>
      </c>
      <c r="E619" s="16">
        <f>E684/E$379</f>
        <v>4.643233724763049E-2</v>
      </c>
      <c r="F619" s="16">
        <f>F684/F$379</f>
        <v>4.6954491225678678E-2</v>
      </c>
      <c r="G619" s="370"/>
      <c r="H619" s="370"/>
      <c r="I619" s="370"/>
      <c r="J619" s="370"/>
      <c r="K619" s="16">
        <f>K684/K$379</f>
        <v>4.9323109376435859E-2</v>
      </c>
      <c r="L619" s="70">
        <f>L684/(L$379+J$379+I$379+H$379)</f>
        <v>4.9779361956764037E-2</v>
      </c>
      <c r="M619" s="70">
        <f>M684/(M$379+L$379+J$379+I$379)</f>
        <v>4.9334335024965641E-2</v>
      </c>
      <c r="N619" s="70">
        <f>N684/(N$379+M$379+L$379+J$379)</f>
        <v>4.8690723169535946E-2</v>
      </c>
      <c r="O619" s="70">
        <f>O684/(O$379+N$379+M$379+L$379)</f>
        <v>4.9882499469539973E-2</v>
      </c>
      <c r="P619" s="16">
        <f>P684/P$379</f>
        <v>4.9882499469539973E-2</v>
      </c>
      <c r="Q619" s="70">
        <f>Q684/(Q$379+O$379+N$379+M$379)</f>
        <v>4.9131359492645618E-2</v>
      </c>
      <c r="R619" s="70">
        <f>R684/(R$379+Q$379+O$379+N$379)</f>
        <v>4.9370883394145575E-2</v>
      </c>
      <c r="S619" s="70">
        <f>S684/(S$379+R$379+Q$379+O$379)</f>
        <v>5.11945058661002E-2</v>
      </c>
      <c r="T619" s="70">
        <f>T684/(T$379+S$379+R$379+Q$379)</f>
        <v>5.1142479155207504E-2</v>
      </c>
      <c r="U619" s="16">
        <f>U684/U$379</f>
        <v>5.1142479155207504E-2</v>
      </c>
      <c r="V619" s="70">
        <f>V684/(V$379+T$379+S$379+R$379)</f>
        <v>5.2235739277326249E-2</v>
      </c>
      <c r="W619" s="70">
        <f>W684/(W$379+V$379+T$379+S$379)</f>
        <v>5.2064966317045235E-2</v>
      </c>
      <c r="X619" s="70">
        <f>X684/(X$379+W$379+V$379+T$379)</f>
        <v>5.2248277096900483E-2</v>
      </c>
      <c r="Y619" s="70">
        <f>Y684/(Y$379+X$379+W$379+V$379)</f>
        <v>5.0219524704187189E-2</v>
      </c>
      <c r="Z619" s="16">
        <f>Z684/Z$379</f>
        <v>5.0219524704187189E-2</v>
      </c>
      <c r="AA619" s="70">
        <f>AA684/(AA$379+Y$379+X$379+W$379)</f>
        <v>4.8234893530389608E-2</v>
      </c>
      <c r="AB619" s="70">
        <f>AB684/(AB$379+AA$379+Y$379+X$379)</f>
        <v>4.9588864502914089E-2</v>
      </c>
      <c r="AC619" s="70">
        <f>AC684/(AC$379+AB$379+AA$379+Y$379)</f>
        <v>4.9191515383482508E-2</v>
      </c>
      <c r="AD619" s="70">
        <f>AD684/(AD$379+AC$379+AB$379+AA$379)</f>
        <v>5.2906626545952164E-2</v>
      </c>
      <c r="AE619" s="16">
        <f>AE684/AE$379</f>
        <v>5.2906626545952164E-2</v>
      </c>
      <c r="AF619" s="70">
        <f>AF684/(AF$379+AD$379+AC$379+AB$379)</f>
        <v>5.2825545699303617E-2</v>
      </c>
      <c r="AG619" s="70">
        <f>AG684/(AG$379+AF$379+AD$379+AC$379)</f>
        <v>5.0274016229138956E-2</v>
      </c>
      <c r="AH619" s="70">
        <f>AH684/(AH$379+AG$379+AF$379+AD$379)</f>
        <v>4.8123999756936951E-2</v>
      </c>
      <c r="AI619" s="70">
        <f>AI684/(AI$379+AH$379+AG$379+AF$379)</f>
        <v>4.8175419284666579E-2</v>
      </c>
      <c r="AJ619" s="16">
        <f>AJ684/AJ$379</f>
        <v>4.8175419284666579E-2</v>
      </c>
      <c r="AK619" s="70">
        <f>AK684/(AK$379+AI$379+AH$379+AG$379)</f>
        <v>4.8673936591564097E-2</v>
      </c>
      <c r="AL619" s="70">
        <f>AL684/(AL$379+AK$379+AI$379+AH$379)</f>
        <v>5.0638720572504542E-2</v>
      </c>
      <c r="AM619" s="70">
        <f>AM684/(AM$379+AL$379+AK$379+AI$379)</f>
        <v>4.8501434690054288E-2</v>
      </c>
      <c r="AN619" s="70">
        <f>AN684/(AN$379+AM$379+AL$379+AK$379)</f>
        <v>4.5878373306565391E-2</v>
      </c>
      <c r="AO619" s="16">
        <f>AO684/AO$379</f>
        <v>4.5878373306565391E-2</v>
      </c>
      <c r="AP619" s="70">
        <f>AP684/(AP$379+AN$379+AM$379+AL$379)</f>
        <v>4.610317567333326E-2</v>
      </c>
      <c r="AQ619" s="70">
        <f>AQ684/(AQ$379+AP$379+AN$379+AM$379)</f>
        <v>4.5485532374569988E-2</v>
      </c>
      <c r="AR619" s="70">
        <f>AR684/(AR$379+AQ$379+AP$379+AN$379)</f>
        <v>4.3671014895305643E-2</v>
      </c>
      <c r="AS619" s="70">
        <f>AS684/(AS$379+AR$379+AQ$379+AP$379)</f>
        <v>4.472673608988554E-2</v>
      </c>
      <c r="AT619" s="16">
        <f>AT684/AT$379</f>
        <v>4.472673608988554E-2</v>
      </c>
      <c r="AU619" s="70">
        <f>AU684/(AU$379+AS$379+AR$379+AQ$379)</f>
        <v>4.320575369926704E-2</v>
      </c>
      <c r="AV619" s="70">
        <f>AV684/(AV$379+AU$379+AS$379+AR$379)</f>
        <v>4.3043612832388223E-2</v>
      </c>
      <c r="AW619" s="585">
        <f>AW684/(AW$379+AV$379+AU$379+AS$379)</f>
        <v>4.1303157954145728E-2</v>
      </c>
      <c r="AX619" s="70">
        <f t="shared" si="620"/>
        <v>4.472673608988554E-2</v>
      </c>
      <c r="AY619" s="16">
        <f>AY684/AY$379</f>
        <v>4.4726736089885533E-2</v>
      </c>
      <c r="AZ619" s="70">
        <f t="shared" si="621"/>
        <v>4.320575369926704E-2</v>
      </c>
      <c r="BA619" s="70">
        <f t="shared" si="621"/>
        <v>4.3043612832388223E-2</v>
      </c>
      <c r="BB619" s="70">
        <f t="shared" si="621"/>
        <v>4.1303157954145728E-2</v>
      </c>
      <c r="BC619" s="70">
        <f t="shared" si="621"/>
        <v>4.472673608988554E-2</v>
      </c>
      <c r="BD619" s="16">
        <f>BD684/BD$379</f>
        <v>4.472673608988554E-2</v>
      </c>
      <c r="BE619" s="16">
        <f t="shared" si="622"/>
        <v>4.472673608988554E-2</v>
      </c>
      <c r="BF619" s="16">
        <f t="shared" si="622"/>
        <v>4.472673608988554E-2</v>
      </c>
      <c r="BG619" s="16">
        <f t="shared" si="622"/>
        <v>4.472673608988554E-2</v>
      </c>
      <c r="BH619" s="70"/>
    </row>
    <row r="620" spans="1:60" customFormat="1" x14ac:dyDescent="0.25">
      <c r="A620" s="421"/>
      <c r="B620" s="423"/>
      <c r="C620" s="551"/>
      <c r="D620" s="551"/>
      <c r="E620" s="551"/>
      <c r="F620" s="551"/>
      <c r="G620" s="529"/>
      <c r="H620" s="529"/>
      <c r="I620" s="529"/>
      <c r="J620" s="529"/>
      <c r="K620" s="551"/>
      <c r="L620" s="529"/>
      <c r="M620" s="529"/>
      <c r="N620" s="529"/>
      <c r="O620" s="529"/>
      <c r="P620" s="551"/>
      <c r="Q620" s="529"/>
      <c r="R620" s="529"/>
      <c r="S620" s="529"/>
      <c r="T620" s="529"/>
      <c r="U620" s="551"/>
      <c r="V620" s="529"/>
      <c r="W620" s="529"/>
      <c r="X620" s="529"/>
      <c r="Y620" s="529"/>
      <c r="Z620" s="551"/>
      <c r="AA620" s="529"/>
      <c r="AB620" s="529"/>
      <c r="AC620" s="529"/>
      <c r="AD620" s="529"/>
      <c r="AE620" s="551"/>
      <c r="AF620" s="529"/>
      <c r="AG620" s="529"/>
      <c r="AH620" s="529"/>
      <c r="AI620" s="529"/>
      <c r="AJ620" s="551"/>
      <c r="AK620" s="529"/>
      <c r="AL620" s="529"/>
      <c r="AM620" s="529"/>
      <c r="AN620" s="529"/>
      <c r="AO620" s="551"/>
      <c r="AP620" s="529"/>
      <c r="AQ620" s="529"/>
      <c r="AR620" s="529"/>
      <c r="AS620" s="529"/>
      <c r="AT620" s="551"/>
      <c r="AU620" s="529"/>
      <c r="AV620" s="529"/>
      <c r="AW620" s="594"/>
      <c r="AX620" s="529"/>
      <c r="AY620" s="551"/>
      <c r="AZ620" s="529"/>
      <c r="BA620" s="529"/>
      <c r="BB620" s="529"/>
      <c r="BC620" s="529"/>
      <c r="BD620" s="551"/>
      <c r="BE620" s="551"/>
      <c r="BF620" s="551"/>
      <c r="BG620" s="551"/>
      <c r="BH620" s="824"/>
    </row>
    <row r="621" spans="1:60" s="416" customFormat="1" x14ac:dyDescent="0.25">
      <c r="A621" s="412" t="s">
        <v>192</v>
      </c>
      <c r="B621" s="530"/>
      <c r="C621" s="552"/>
      <c r="D621" s="413">
        <f t="shared" ref="D621:F624" si="623">D616-C616</f>
        <v>4.1843470184891457E-3</v>
      </c>
      <c r="E621" s="413">
        <f t="shared" si="623"/>
        <v>-2.2803581179243956E-3</v>
      </c>
      <c r="F621" s="413">
        <f t="shared" si="623"/>
        <v>1.6618488861427683E-2</v>
      </c>
      <c r="G621" s="531"/>
      <c r="H621" s="531"/>
      <c r="I621" s="531"/>
      <c r="J621" s="531"/>
      <c r="K621" s="413">
        <f>K616-F616</f>
        <v>2.2340878727983987E-4</v>
      </c>
      <c r="L621" s="531"/>
      <c r="M621" s="531"/>
      <c r="N621" s="531"/>
      <c r="O621" s="531"/>
      <c r="P621" s="413">
        <f t="shared" ref="P621:Y624" si="624">P616-K616</f>
        <v>2.7401620433300244E-3</v>
      </c>
      <c r="Q621" s="383">
        <f t="shared" si="624"/>
        <v>4.4722751772792446E-3</v>
      </c>
      <c r="R621" s="383">
        <f t="shared" si="624"/>
        <v>1.3629804136765955E-2</v>
      </c>
      <c r="S621" s="383">
        <f t="shared" si="624"/>
        <v>1.2313907793071413E-2</v>
      </c>
      <c r="T621" s="383">
        <f t="shared" si="624"/>
        <v>-5.7401617005977262E-3</v>
      </c>
      <c r="U621" s="413">
        <f t="shared" si="624"/>
        <v>-5.7401617005977262E-3</v>
      </c>
      <c r="V621" s="383">
        <f t="shared" si="624"/>
        <v>-6.6210781267560977E-3</v>
      </c>
      <c r="W621" s="383">
        <f t="shared" si="624"/>
        <v>-2.122649046650096E-2</v>
      </c>
      <c r="X621" s="383">
        <f t="shared" si="624"/>
        <v>-1.4434726320960611E-2</v>
      </c>
      <c r="Y621" s="383">
        <f t="shared" si="624"/>
        <v>-2.2662169320931298E-3</v>
      </c>
      <c r="Z621" s="413">
        <f t="shared" ref="Z621:AI624" si="625">Z616-U616</f>
        <v>-2.2662169320931298E-3</v>
      </c>
      <c r="AA621" s="383">
        <f t="shared" si="625"/>
        <v>1.0640445652862034E-3</v>
      </c>
      <c r="AB621" s="383">
        <f t="shared" si="625"/>
        <v>1.1276292390598405E-2</v>
      </c>
      <c r="AC621" s="383">
        <f t="shared" si="625"/>
        <v>1.1481808343089418E-2</v>
      </c>
      <c r="AD621" s="383">
        <f t="shared" si="625"/>
        <v>1.6395751730534754E-2</v>
      </c>
      <c r="AE621" s="413">
        <f t="shared" si="625"/>
        <v>1.6395751730534754E-2</v>
      </c>
      <c r="AF621" s="383">
        <f t="shared" si="625"/>
        <v>1.6071470607887516E-2</v>
      </c>
      <c r="AG621" s="383">
        <f t="shared" si="625"/>
        <v>7.9314233413329618E-3</v>
      </c>
      <c r="AH621" s="383">
        <f t="shared" si="625"/>
        <v>7.1182214073100616E-3</v>
      </c>
      <c r="AI621" s="383">
        <f t="shared" si="625"/>
        <v>1.5267691634463093E-3</v>
      </c>
      <c r="AJ621" s="413">
        <f t="shared" ref="AJ621:AQ624" si="626">AJ616-AE616</f>
        <v>1.5267691634463093E-3</v>
      </c>
      <c r="AK621" s="383">
        <f t="shared" si="626"/>
        <v>2.5471203800369255E-3</v>
      </c>
      <c r="AL621" s="383">
        <f t="shared" si="626"/>
        <v>3.6237558761051392E-3</v>
      </c>
      <c r="AM621" s="383">
        <f t="shared" si="626"/>
        <v>2.0043040971279291E-3</v>
      </c>
      <c r="AN621" s="383">
        <f t="shared" si="626"/>
        <v>1.0072483510050231E-2</v>
      </c>
      <c r="AO621" s="413">
        <f t="shared" si="626"/>
        <v>1.0072483510050231E-2</v>
      </c>
      <c r="AP621" s="383">
        <f t="shared" si="626"/>
        <v>1.1053960422179772E-2</v>
      </c>
      <c r="AQ621" s="383">
        <f t="shared" si="626"/>
        <v>1.2729099865545671E-2</v>
      </c>
      <c r="AR621" s="383">
        <f t="shared" ref="AR621:AU624" si="627">AR616-AM616</f>
        <v>1.2796394778871935E-2</v>
      </c>
      <c r="AS621" s="383">
        <f t="shared" si="627"/>
        <v>4.7189673474883481E-3</v>
      </c>
      <c r="AT621" s="413">
        <f t="shared" si="627"/>
        <v>4.7189673474883481E-3</v>
      </c>
      <c r="AU621" s="383">
        <f t="shared" si="627"/>
        <v>4.0470383873858554E-3</v>
      </c>
      <c r="AV621" s="383">
        <f t="shared" ref="AV621:AW624" si="628">AV616-AQ616</f>
        <v>3.8836733204302004E-3</v>
      </c>
      <c r="AW621" s="595">
        <f t="shared" si="628"/>
        <v>5.8157149113891027E-3</v>
      </c>
      <c r="AX621" s="414">
        <v>0</v>
      </c>
      <c r="AY621" s="413">
        <f>AY616-AT616</f>
        <v>0</v>
      </c>
      <c r="AZ621" s="414">
        <v>0</v>
      </c>
      <c r="BA621" s="414">
        <v>0</v>
      </c>
      <c r="BB621" s="414">
        <v>0</v>
      </c>
      <c r="BC621" s="414">
        <v>0</v>
      </c>
      <c r="BD621" s="413">
        <f>BD616-AY616</f>
        <v>0</v>
      </c>
      <c r="BE621" s="415">
        <v>0</v>
      </c>
      <c r="BF621" s="415">
        <v>0</v>
      </c>
      <c r="BG621" s="415">
        <v>0</v>
      </c>
      <c r="BH621" s="70"/>
    </row>
    <row r="622" spans="1:60" s="416" customFormat="1" x14ac:dyDescent="0.25">
      <c r="A622" s="412" t="s">
        <v>193</v>
      </c>
      <c r="B622" s="530"/>
      <c r="C622" s="552"/>
      <c r="D622" s="413">
        <f t="shared" si="623"/>
        <v>-3.0376142003102447E-2</v>
      </c>
      <c r="E622" s="413">
        <f t="shared" si="623"/>
        <v>2.1168678256899033E-3</v>
      </c>
      <c r="F622" s="413">
        <f t="shared" si="623"/>
        <v>-3.1890530409179052E-3</v>
      </c>
      <c r="G622" s="531"/>
      <c r="H622" s="531"/>
      <c r="I622" s="531"/>
      <c r="J622" s="531"/>
      <c r="K622" s="413">
        <f>K617-F617</f>
        <v>8.3050500321720996E-4</v>
      </c>
      <c r="L622" s="531"/>
      <c r="M622" s="531"/>
      <c r="N622" s="531"/>
      <c r="O622" s="531"/>
      <c r="P622" s="413">
        <f t="shared" si="624"/>
        <v>1.18324658856107E-2</v>
      </c>
      <c r="Q622" s="383">
        <f t="shared" si="624"/>
        <v>3.8381631238206711E-3</v>
      </c>
      <c r="R622" s="383">
        <f t="shared" si="624"/>
        <v>6.5889404190024835E-3</v>
      </c>
      <c r="S622" s="383">
        <f t="shared" si="624"/>
        <v>3.5604909877933084E-3</v>
      </c>
      <c r="T622" s="383">
        <f t="shared" si="624"/>
        <v>7.7065952574743857E-4</v>
      </c>
      <c r="U622" s="413">
        <f t="shared" si="624"/>
        <v>7.7065952574743857E-4</v>
      </c>
      <c r="V622" s="383">
        <f t="shared" si="624"/>
        <v>-4.4123479652569131E-4</v>
      </c>
      <c r="W622" s="383">
        <f t="shared" si="624"/>
        <v>-3.1046072192675786E-3</v>
      </c>
      <c r="X622" s="383">
        <f t="shared" si="624"/>
        <v>2.4427294294379828E-3</v>
      </c>
      <c r="Y622" s="383">
        <f t="shared" si="624"/>
        <v>-1.9639888788910986E-3</v>
      </c>
      <c r="Z622" s="413">
        <f t="shared" si="625"/>
        <v>-1.9639888788910986E-3</v>
      </c>
      <c r="AA622" s="383">
        <f t="shared" si="625"/>
        <v>-1.3679887014120401E-3</v>
      </c>
      <c r="AB622" s="383">
        <f t="shared" si="625"/>
        <v>-4.7065316823073182E-3</v>
      </c>
      <c r="AC622" s="383">
        <f t="shared" si="625"/>
        <v>-7.2535435937343407E-3</v>
      </c>
      <c r="AD622" s="383">
        <f t="shared" si="625"/>
        <v>-4.6764124558896641E-3</v>
      </c>
      <c r="AE622" s="413">
        <f t="shared" si="625"/>
        <v>-4.6764124558896641E-3</v>
      </c>
      <c r="AF622" s="383">
        <f t="shared" si="625"/>
        <v>3.1882198089140182E-3</v>
      </c>
      <c r="AG622" s="383">
        <f t="shared" si="625"/>
        <v>5.4648845502677131E-3</v>
      </c>
      <c r="AH622" s="383">
        <f t="shared" si="625"/>
        <v>1.9446844270588973E-3</v>
      </c>
      <c r="AI622" s="383">
        <f t="shared" si="625"/>
        <v>4.8943801747438342E-3</v>
      </c>
      <c r="AJ622" s="413">
        <f t="shared" si="626"/>
        <v>4.8943801747438342E-3</v>
      </c>
      <c r="AK622" s="383">
        <f t="shared" si="626"/>
        <v>-7.7392432559378645E-3</v>
      </c>
      <c r="AL622" s="383">
        <f t="shared" si="626"/>
        <v>-7.2139205464389067E-3</v>
      </c>
      <c r="AM622" s="383">
        <f t="shared" si="626"/>
        <v>-6.1104417719267251E-3</v>
      </c>
      <c r="AN622" s="383">
        <f t="shared" si="626"/>
        <v>-2.1890804935579197E-3</v>
      </c>
      <c r="AO622" s="413">
        <f t="shared" si="626"/>
        <v>-2.1890804935579197E-3</v>
      </c>
      <c r="AP622" s="383">
        <f t="shared" si="626"/>
        <v>-9.6624639426245301E-4</v>
      </c>
      <c r="AQ622" s="383">
        <f t="shared" si="626"/>
        <v>-5.3421073471588039E-3</v>
      </c>
      <c r="AR622" s="383">
        <f t="shared" si="627"/>
        <v>-8.0352321076440636E-4</v>
      </c>
      <c r="AS622" s="383">
        <f t="shared" si="627"/>
        <v>-7.2041867796674777E-3</v>
      </c>
      <c r="AT622" s="413">
        <f t="shared" si="627"/>
        <v>-7.2041867796674777E-3</v>
      </c>
      <c r="AU622" s="383">
        <f t="shared" si="627"/>
        <v>-5.2927604758018117E-3</v>
      </c>
      <c r="AV622" s="383">
        <f t="shared" si="628"/>
        <v>2.8427847739581485E-3</v>
      </c>
      <c r="AW622" s="595">
        <f t="shared" si="628"/>
        <v>-2.6673379302774233E-4</v>
      </c>
      <c r="AX622" s="414">
        <v>0</v>
      </c>
      <c r="AY622" s="413">
        <f>AY617-AT617</f>
        <v>0</v>
      </c>
      <c r="AZ622" s="414">
        <v>0</v>
      </c>
      <c r="BA622" s="414">
        <v>0</v>
      </c>
      <c r="BB622" s="414">
        <v>0</v>
      </c>
      <c r="BC622" s="414">
        <v>0</v>
      </c>
      <c r="BD622" s="413">
        <f>BD617-AY617</f>
        <v>0</v>
      </c>
      <c r="BE622" s="415">
        <v>0</v>
      </c>
      <c r="BF622" s="415">
        <v>0</v>
      </c>
      <c r="BG622" s="415">
        <v>0</v>
      </c>
      <c r="BH622" s="70"/>
    </row>
    <row r="623" spans="1:60" s="416" customFormat="1" x14ac:dyDescent="0.25">
      <c r="A623" s="412" t="s">
        <v>194</v>
      </c>
      <c r="B623" s="530"/>
      <c r="C623" s="552"/>
      <c r="D623" s="413">
        <f t="shared" si="623"/>
        <v>-2.1532637459008713E-3</v>
      </c>
      <c r="E623" s="413">
        <f t="shared" si="623"/>
        <v>-9.1274969179841112E-4</v>
      </c>
      <c r="F623" s="413">
        <f t="shared" si="623"/>
        <v>-2.2001094873347615E-3</v>
      </c>
      <c r="G623" s="531"/>
      <c r="H623" s="531"/>
      <c r="I623" s="531"/>
      <c r="J623" s="531"/>
      <c r="K623" s="413">
        <f>K618-F618</f>
        <v>-2.3746651989160952E-3</v>
      </c>
      <c r="L623" s="531"/>
      <c r="M623" s="531"/>
      <c r="N623" s="531"/>
      <c r="O623" s="531"/>
      <c r="P623" s="413">
        <f t="shared" si="624"/>
        <v>3.2215720874214857E-4</v>
      </c>
      <c r="Q623" s="383">
        <f t="shared" si="624"/>
        <v>6.6071923597666622E-3</v>
      </c>
      <c r="R623" s="383">
        <f t="shared" si="624"/>
        <v>4.462521397133299E-3</v>
      </c>
      <c r="S623" s="383">
        <f t="shared" si="624"/>
        <v>1.4263776392672711E-2</v>
      </c>
      <c r="T623" s="383">
        <f t="shared" si="624"/>
        <v>8.0374708433313628E-3</v>
      </c>
      <c r="U623" s="413">
        <f t="shared" si="624"/>
        <v>8.0374708433313628E-3</v>
      </c>
      <c r="V623" s="383">
        <f t="shared" si="624"/>
        <v>6.8738502040278301E-3</v>
      </c>
      <c r="W623" s="383">
        <f t="shared" si="624"/>
        <v>-2.04032811977993E-3</v>
      </c>
      <c r="X623" s="383">
        <f t="shared" si="624"/>
        <v>-3.234324718318405E-3</v>
      </c>
      <c r="Y623" s="383">
        <f t="shared" si="624"/>
        <v>1.6723486199452832E-3</v>
      </c>
      <c r="Z623" s="413">
        <f t="shared" si="625"/>
        <v>1.6723486199452832E-3</v>
      </c>
      <c r="AA623" s="383">
        <f t="shared" si="625"/>
        <v>5.8003805517361125E-3</v>
      </c>
      <c r="AB623" s="383">
        <f t="shared" si="625"/>
        <v>1.8554222316766351E-3</v>
      </c>
      <c r="AC623" s="383">
        <f t="shared" si="625"/>
        <v>5.8655071209285682E-3</v>
      </c>
      <c r="AD623" s="383">
        <f t="shared" si="625"/>
        <v>4.5677104801978251E-3</v>
      </c>
      <c r="AE623" s="413">
        <f t="shared" si="625"/>
        <v>4.5677104801978251E-3</v>
      </c>
      <c r="AF623" s="383">
        <f t="shared" si="625"/>
        <v>2.5088796343702285E-3</v>
      </c>
      <c r="AG623" s="383">
        <f t="shared" si="625"/>
        <v>3.8640361731851793E-3</v>
      </c>
      <c r="AH623" s="383">
        <f t="shared" si="625"/>
        <v>4.9138063455904622E-3</v>
      </c>
      <c r="AI623" s="383">
        <f t="shared" si="625"/>
        <v>3.2791972830557257E-3</v>
      </c>
      <c r="AJ623" s="413">
        <f t="shared" si="626"/>
        <v>3.2791972830557257E-3</v>
      </c>
      <c r="AK623" s="383">
        <f t="shared" si="626"/>
        <v>1.1254175758972911E-2</v>
      </c>
      <c r="AL623" s="383">
        <f t="shared" si="626"/>
        <v>1.4298890464779879E-2</v>
      </c>
      <c r="AM623" s="383">
        <f t="shared" si="626"/>
        <v>1.9585764345375831E-2</v>
      </c>
      <c r="AN623" s="383">
        <f t="shared" si="626"/>
        <v>1.1597888269009506E-2</v>
      </c>
      <c r="AO623" s="413">
        <f t="shared" si="626"/>
        <v>1.1597888269009506E-2</v>
      </c>
      <c r="AP623" s="383">
        <f t="shared" si="626"/>
        <v>4.6596253178238442E-3</v>
      </c>
      <c r="AQ623" s="383">
        <f t="shared" si="626"/>
        <v>1.0136179526079869E-3</v>
      </c>
      <c r="AR623" s="383">
        <f t="shared" si="627"/>
        <v>-2.114152256830315E-3</v>
      </c>
      <c r="AS623" s="383">
        <f t="shared" si="627"/>
        <v>2.2698160302362103E-3</v>
      </c>
      <c r="AT623" s="413">
        <f t="shared" si="627"/>
        <v>2.2698160302362103E-3</v>
      </c>
      <c r="AU623" s="383">
        <f t="shared" si="627"/>
        <v>-6.2859679939215179E-4</v>
      </c>
      <c r="AV623" s="383">
        <f t="shared" si="628"/>
        <v>-2.7957638540140259E-3</v>
      </c>
      <c r="AW623" s="595">
        <f t="shared" si="628"/>
        <v>-3.509162553045328E-3</v>
      </c>
      <c r="AX623" s="414">
        <v>0</v>
      </c>
      <c r="AY623" s="413">
        <f>AY618-AT618</f>
        <v>0</v>
      </c>
      <c r="AZ623" s="414">
        <v>0</v>
      </c>
      <c r="BA623" s="414">
        <v>0</v>
      </c>
      <c r="BB623" s="414">
        <v>0</v>
      </c>
      <c r="BC623" s="414">
        <v>0</v>
      </c>
      <c r="BD623" s="413">
        <f>BD618-AY618</f>
        <v>0</v>
      </c>
      <c r="BE623" s="415">
        <v>0</v>
      </c>
      <c r="BF623" s="415">
        <v>0</v>
      </c>
      <c r="BG623" s="415">
        <v>0</v>
      </c>
      <c r="BH623" s="70"/>
    </row>
    <row r="624" spans="1:60" s="416" customFormat="1" x14ac:dyDescent="0.25">
      <c r="A624" s="412" t="s">
        <v>195</v>
      </c>
      <c r="B624" s="530"/>
      <c r="C624" s="552"/>
      <c r="D624" s="413">
        <f t="shared" si="623"/>
        <v>-1.1191215912827249E-3</v>
      </c>
      <c r="E624" s="413">
        <f t="shared" si="623"/>
        <v>-1.2377211333376395E-2</v>
      </c>
      <c r="F624" s="413">
        <f t="shared" si="623"/>
        <v>5.2215397804818847E-4</v>
      </c>
      <c r="G624" s="531"/>
      <c r="H624" s="531"/>
      <c r="I624" s="531"/>
      <c r="J624" s="531"/>
      <c r="K624" s="413">
        <f>K619-F619</f>
        <v>2.3686181507571805E-3</v>
      </c>
      <c r="L624" s="531"/>
      <c r="M624" s="531"/>
      <c r="N624" s="531"/>
      <c r="O624" s="531"/>
      <c r="P624" s="413">
        <f t="shared" si="624"/>
        <v>5.5939009310411458E-4</v>
      </c>
      <c r="Q624" s="383">
        <f t="shared" si="624"/>
        <v>-6.48002464118419E-4</v>
      </c>
      <c r="R624" s="383">
        <f t="shared" si="624"/>
        <v>3.6548369179933982E-5</v>
      </c>
      <c r="S624" s="383">
        <f t="shared" si="624"/>
        <v>2.5037826965642537E-3</v>
      </c>
      <c r="T624" s="383">
        <f t="shared" si="624"/>
        <v>1.259979685667531E-3</v>
      </c>
      <c r="U624" s="413">
        <f t="shared" si="624"/>
        <v>1.259979685667531E-3</v>
      </c>
      <c r="V624" s="383">
        <f t="shared" si="624"/>
        <v>3.1043797846806304E-3</v>
      </c>
      <c r="W624" s="383">
        <f t="shared" si="624"/>
        <v>2.6940829228996599E-3</v>
      </c>
      <c r="X624" s="383">
        <f t="shared" si="624"/>
        <v>1.0537712308002836E-3</v>
      </c>
      <c r="Y624" s="383">
        <f t="shared" si="624"/>
        <v>-9.2295445102031498E-4</v>
      </c>
      <c r="Z624" s="413">
        <f t="shared" si="625"/>
        <v>-9.2295445102031498E-4</v>
      </c>
      <c r="AA624" s="383">
        <f t="shared" si="625"/>
        <v>-4.0008457469366404E-3</v>
      </c>
      <c r="AB624" s="383">
        <f t="shared" si="625"/>
        <v>-2.4761018141311458E-3</v>
      </c>
      <c r="AC624" s="383">
        <f t="shared" si="625"/>
        <v>-3.0567617134179756E-3</v>
      </c>
      <c r="AD624" s="383">
        <f t="shared" si="625"/>
        <v>2.6871018417649745E-3</v>
      </c>
      <c r="AE624" s="413">
        <f t="shared" si="625"/>
        <v>2.6871018417649745E-3</v>
      </c>
      <c r="AF624" s="383">
        <f t="shared" si="625"/>
        <v>4.5906521689140084E-3</v>
      </c>
      <c r="AG624" s="383">
        <f t="shared" si="625"/>
        <v>6.8515172622486686E-4</v>
      </c>
      <c r="AH624" s="383">
        <f t="shared" si="625"/>
        <v>-1.0675156265455565E-3</v>
      </c>
      <c r="AI624" s="383">
        <f t="shared" si="625"/>
        <v>-4.7312072612855846E-3</v>
      </c>
      <c r="AJ624" s="413">
        <f t="shared" si="626"/>
        <v>-4.7312072612855846E-3</v>
      </c>
      <c r="AK624" s="383">
        <f t="shared" si="626"/>
        <v>-4.1516091077395192E-3</v>
      </c>
      <c r="AL624" s="383">
        <f t="shared" si="626"/>
        <v>3.6470434336558638E-4</v>
      </c>
      <c r="AM624" s="383">
        <f t="shared" si="626"/>
        <v>3.7743493311733628E-4</v>
      </c>
      <c r="AN624" s="383">
        <f t="shared" si="626"/>
        <v>-2.2970459781011879E-3</v>
      </c>
      <c r="AO624" s="413">
        <f t="shared" si="626"/>
        <v>-2.2970459781011879E-3</v>
      </c>
      <c r="AP624" s="383">
        <f t="shared" si="626"/>
        <v>-2.5707609182308369E-3</v>
      </c>
      <c r="AQ624" s="383">
        <f t="shared" si="626"/>
        <v>-5.1531881979345537E-3</v>
      </c>
      <c r="AR624" s="383">
        <f t="shared" si="627"/>
        <v>-4.8304197947486444E-3</v>
      </c>
      <c r="AS624" s="383">
        <f t="shared" si="627"/>
        <v>-1.1516372166798516E-3</v>
      </c>
      <c r="AT624" s="413">
        <f t="shared" si="627"/>
        <v>-1.1516372166798516E-3</v>
      </c>
      <c r="AU624" s="383">
        <f t="shared" si="627"/>
        <v>-2.8974219740662208E-3</v>
      </c>
      <c r="AV624" s="383">
        <f t="shared" si="628"/>
        <v>-2.4419195421817655E-3</v>
      </c>
      <c r="AW624" s="595">
        <f t="shared" si="628"/>
        <v>-2.3678569411599154E-3</v>
      </c>
      <c r="AX624" s="414">
        <v>0</v>
      </c>
      <c r="AY624" s="413">
        <f>AY619-AT619</f>
        <v>0</v>
      </c>
      <c r="AZ624" s="414">
        <v>0</v>
      </c>
      <c r="BA624" s="414">
        <v>0</v>
      </c>
      <c r="BB624" s="414">
        <v>0</v>
      </c>
      <c r="BC624" s="414">
        <v>0</v>
      </c>
      <c r="BD624" s="413">
        <f>BD619-AY619</f>
        <v>0</v>
      </c>
      <c r="BE624" s="415">
        <v>0</v>
      </c>
      <c r="BF624" s="415">
        <v>0</v>
      </c>
      <c r="BG624" s="415">
        <v>0</v>
      </c>
      <c r="BH624" s="70"/>
    </row>
    <row r="625" spans="1:60" customFormat="1" x14ac:dyDescent="0.25">
      <c r="A625" s="178"/>
      <c r="B625" s="289"/>
      <c r="C625" s="854"/>
      <c r="D625" s="854"/>
      <c r="E625" s="854"/>
      <c r="F625" s="854"/>
      <c r="G625" s="855"/>
      <c r="H625" s="855"/>
      <c r="I625" s="855"/>
      <c r="J625" s="855"/>
      <c r="K625" s="854"/>
      <c r="L625" s="855"/>
      <c r="M625" s="855"/>
      <c r="N625" s="855"/>
      <c r="O625" s="855"/>
      <c r="P625" s="854"/>
      <c r="Q625" s="855"/>
      <c r="R625" s="855"/>
      <c r="S625" s="855"/>
      <c r="T625" s="855"/>
      <c r="U625" s="854"/>
      <c r="V625" s="855"/>
      <c r="W625" s="855"/>
      <c r="X625" s="855"/>
      <c r="Y625" s="855"/>
      <c r="Z625" s="854"/>
      <c r="AA625" s="855"/>
      <c r="AB625" s="855"/>
      <c r="AC625" s="855"/>
      <c r="AD625" s="855"/>
      <c r="AE625" s="854"/>
      <c r="AF625" s="855"/>
      <c r="AG625" s="855"/>
      <c r="AH625" s="855"/>
      <c r="AI625" s="855"/>
      <c r="AJ625" s="854"/>
      <c r="AK625" s="855"/>
      <c r="AL625" s="855"/>
      <c r="AM625" s="855"/>
      <c r="AN625" s="855"/>
      <c r="AO625" s="854"/>
      <c r="AP625" s="855"/>
      <c r="AQ625" s="855"/>
      <c r="AR625" s="855"/>
      <c r="AS625" s="855"/>
      <c r="AT625" s="854"/>
      <c r="AU625" s="855"/>
      <c r="AV625" s="855"/>
      <c r="AW625" s="863"/>
      <c r="AX625" s="855"/>
      <c r="AY625" s="854"/>
      <c r="AZ625" s="855"/>
      <c r="BA625" s="855"/>
      <c r="BB625" s="855"/>
      <c r="BC625" s="855"/>
      <c r="BD625" s="854"/>
      <c r="BE625" s="854"/>
      <c r="BF625" s="854"/>
      <c r="BG625" s="854"/>
      <c r="BH625" s="824"/>
    </row>
    <row r="626" spans="1:60" s="57" customFormat="1" x14ac:dyDescent="0.25">
      <c r="A626" s="290" t="s">
        <v>546</v>
      </c>
      <c r="B626" s="291"/>
      <c r="C626" s="924"/>
      <c r="D626" s="924"/>
      <c r="E626" s="924"/>
      <c r="F626" s="924"/>
      <c r="G626" s="924"/>
      <c r="H626" s="924"/>
      <c r="I626" s="924"/>
      <c r="J626" s="924"/>
      <c r="K626" s="924"/>
      <c r="L626" s="924"/>
      <c r="M626" s="924"/>
      <c r="N626" s="924"/>
      <c r="O626" s="924"/>
      <c r="P626" s="924"/>
      <c r="Q626" s="924"/>
      <c r="R626" s="924"/>
      <c r="S626" s="924"/>
      <c r="T626" s="924"/>
      <c r="U626" s="924"/>
      <c r="V626" s="924"/>
      <c r="W626" s="924"/>
      <c r="X626" s="924"/>
      <c r="Y626" s="924"/>
      <c r="Z626" s="924"/>
      <c r="AA626" s="924"/>
      <c r="AB626" s="924"/>
      <c r="AC626" s="924"/>
      <c r="AD626" s="924"/>
      <c r="AE626" s="924"/>
      <c r="AF626" s="924"/>
      <c r="AG626" s="924"/>
      <c r="AH626" s="924"/>
      <c r="AI626" s="924"/>
      <c r="AJ626" s="924"/>
      <c r="AK626" s="924"/>
      <c r="AL626" s="924"/>
      <c r="AM626" s="924"/>
      <c r="AN626" s="924"/>
      <c r="AO626" s="924"/>
      <c r="AP626" s="924"/>
      <c r="AQ626" s="924"/>
      <c r="AR626" s="924"/>
      <c r="AS626" s="924"/>
      <c r="AT626" s="924"/>
      <c r="AU626" s="924"/>
      <c r="AV626" s="924"/>
      <c r="AW626" s="925"/>
      <c r="AX626" s="924"/>
      <c r="AY626" s="924"/>
      <c r="AZ626" s="924"/>
      <c r="BA626" s="924"/>
      <c r="BB626" s="924"/>
      <c r="BC626" s="924"/>
      <c r="BD626" s="924"/>
      <c r="BE626" s="924"/>
      <c r="BF626" s="924"/>
      <c r="BG626" s="924"/>
      <c r="BH626" s="824"/>
    </row>
    <row r="627" spans="1:60" s="57" customFormat="1" x14ac:dyDescent="0.25">
      <c r="A627" s="63" t="s">
        <v>548</v>
      </c>
      <c r="B627" s="423"/>
      <c r="C627" s="848"/>
      <c r="D627" s="926">
        <f t="shared" ref="D627:J627" si="629">C631</f>
        <v>131.65299999999999</v>
      </c>
      <c r="E627" s="926">
        <f t="shared" si="629"/>
        <v>128.57</v>
      </c>
      <c r="F627" s="926">
        <f t="shared" si="629"/>
        <v>136.35300000000001</v>
      </c>
      <c r="G627" s="927">
        <f t="shared" si="629"/>
        <v>131.68100000000001</v>
      </c>
      <c r="H627" s="927">
        <f t="shared" si="629"/>
        <v>129.31899999999999</v>
      </c>
      <c r="I627" s="927">
        <f t="shared" si="629"/>
        <v>127.931</v>
      </c>
      <c r="J627" s="927">
        <f t="shared" si="629"/>
        <v>127.26300000000001</v>
      </c>
      <c r="K627" s="926">
        <f>F631</f>
        <v>131.68100000000001</v>
      </c>
      <c r="L627" s="927">
        <f>K631</f>
        <v>133.60499999999999</v>
      </c>
      <c r="M627" s="927">
        <f>L631</f>
        <v>133.47300000000001</v>
      </c>
      <c r="N627" s="927">
        <f>M631</f>
        <v>141.715</v>
      </c>
      <c r="O627" s="927">
        <f>N631</f>
        <v>144.14699999999999</v>
      </c>
      <c r="P627" s="926">
        <f>K631</f>
        <v>133.60499999999999</v>
      </c>
      <c r="Q627" s="927">
        <f>P631</f>
        <v>149.875</v>
      </c>
      <c r="R627" s="927">
        <f>Q631</f>
        <v>145.816</v>
      </c>
      <c r="S627" s="927">
        <f>R631</f>
        <v>171.39599999999999</v>
      </c>
      <c r="T627" s="927">
        <f>S631</f>
        <v>181.268</v>
      </c>
      <c r="U627" s="926">
        <f>P631</f>
        <v>149.875</v>
      </c>
      <c r="V627" s="927">
        <f>U631</f>
        <v>173.41200000000001</v>
      </c>
      <c r="W627" s="927">
        <f>V631</f>
        <v>166.25399999999999</v>
      </c>
      <c r="X627" s="927">
        <f>W631</f>
        <v>162.864</v>
      </c>
      <c r="Y627" s="927">
        <f>X631</f>
        <v>191.876</v>
      </c>
      <c r="Z627" s="926">
        <f>U631</f>
        <v>173.41200000000001</v>
      </c>
      <c r="AA627" s="927">
        <f>Z631</f>
        <v>250.39500000000001</v>
      </c>
      <c r="AB627" s="927">
        <f>AA631</f>
        <v>275.08300000000003</v>
      </c>
      <c r="AC627" s="927">
        <f>AB631</f>
        <v>309.83100000000002</v>
      </c>
      <c r="AD627" s="927">
        <f>AC631</f>
        <v>322.42099999999999</v>
      </c>
      <c r="AE627" s="926">
        <f>Z631</f>
        <v>250.39500000000001</v>
      </c>
      <c r="AF627" s="927">
        <f>AE631</f>
        <v>319.404</v>
      </c>
      <c r="AG627" s="927">
        <f>AF631</f>
        <v>341.93200000000002</v>
      </c>
      <c r="AH627" s="927">
        <f>AG631</f>
        <v>349.64600000000002</v>
      </c>
      <c r="AI627" s="927">
        <f>AH631</f>
        <v>371.15199999999999</v>
      </c>
      <c r="AJ627" s="926">
        <f>AE631</f>
        <v>319.404</v>
      </c>
      <c r="AK627" s="927">
        <f>AJ631</f>
        <v>418.28100000000001</v>
      </c>
      <c r="AL627" s="927">
        <f>AK631</f>
        <v>434.37200000000001</v>
      </c>
      <c r="AM627" s="927">
        <f>AL631</f>
        <v>452.399</v>
      </c>
      <c r="AN627" s="927">
        <f>AM631</f>
        <v>481.99200000000002</v>
      </c>
      <c r="AO627" s="926">
        <f>AJ631</f>
        <v>418.28100000000001</v>
      </c>
      <c r="AP627" s="927">
        <f>AO631</f>
        <v>565.221</v>
      </c>
      <c r="AQ627" s="927">
        <f>AP631</f>
        <v>650.45500000000004</v>
      </c>
      <c r="AR627" s="927">
        <f>AQ631</f>
        <v>751.94100000000003</v>
      </c>
      <c r="AS627" s="927">
        <f>AR631</f>
        <v>828.11800000000005</v>
      </c>
      <c r="AT627" s="926">
        <f>AO631</f>
        <v>565.221</v>
      </c>
      <c r="AU627" s="927">
        <f>AT631</f>
        <v>960.18299999999999</v>
      </c>
      <c r="AV627" s="927">
        <f>AU631</f>
        <v>1015.419</v>
      </c>
      <c r="AW627" s="928">
        <f>AV631</f>
        <v>1107.4369999999999</v>
      </c>
      <c r="AX627" s="849">
        <f>AW631</f>
        <v>1220.114</v>
      </c>
      <c r="AY627" s="848">
        <f>AT631</f>
        <v>960.18299999999999</v>
      </c>
      <c r="AZ627" s="849">
        <f>AY631</f>
        <v>1243.2301041095891</v>
      </c>
      <c r="BA627" s="849">
        <f>AZ631</f>
        <v>1275.7891285989867</v>
      </c>
      <c r="BB627" s="849">
        <f>BA631</f>
        <v>1305.8129687235025</v>
      </c>
      <c r="BC627" s="849">
        <f>BB631</f>
        <v>1333.4029564304512</v>
      </c>
      <c r="BD627" s="848">
        <f>AY631</f>
        <v>1243.2301041095891</v>
      </c>
      <c r="BE627" s="848">
        <f>BD631</f>
        <v>1359.4630226272941</v>
      </c>
      <c r="BF627" s="848">
        <f>BE631</f>
        <v>1460.3811576492894</v>
      </c>
      <c r="BG627" s="848">
        <f>BF631</f>
        <v>1539.0973029664458</v>
      </c>
      <c r="BH627" s="824"/>
    </row>
    <row r="628" spans="1:60" s="57" customFormat="1" x14ac:dyDescent="0.25">
      <c r="A628" s="367" t="s">
        <v>549</v>
      </c>
      <c r="B628" s="289"/>
      <c r="C628" s="854"/>
      <c r="D628" s="923">
        <f t="shared" ref="D628:AQ628" si="630">-D392</f>
        <v>-38.098999999999997</v>
      </c>
      <c r="E628" s="923">
        <f t="shared" si="630"/>
        <v>-43.747</v>
      </c>
      <c r="F628" s="923">
        <f t="shared" si="630"/>
        <v>-45.469000000000001</v>
      </c>
      <c r="G628" s="856">
        <f t="shared" si="630"/>
        <v>-12.051</v>
      </c>
      <c r="H628" s="856">
        <f t="shared" si="630"/>
        <v>-12.026000000000002</v>
      </c>
      <c r="I628" s="856">
        <f t="shared" si="630"/>
        <v>-11.452000000000002</v>
      </c>
      <c r="J628" s="856">
        <f t="shared" si="630"/>
        <v>-12.844999999999999</v>
      </c>
      <c r="K628" s="923">
        <f t="shared" si="630"/>
        <v>-48.374000000000002</v>
      </c>
      <c r="L628" s="856">
        <f t="shared" si="630"/>
        <v>-12.382</v>
      </c>
      <c r="M628" s="856">
        <f t="shared" si="630"/>
        <v>-12.977000000000002</v>
      </c>
      <c r="N628" s="856">
        <f t="shared" si="630"/>
        <v>-14.356999999999999</v>
      </c>
      <c r="O628" s="856">
        <f t="shared" si="630"/>
        <v>-14.311999999999998</v>
      </c>
      <c r="P628" s="923">
        <f t="shared" si="630"/>
        <v>-54.027999999999999</v>
      </c>
      <c r="Q628" s="856">
        <f t="shared" si="630"/>
        <v>-15.167</v>
      </c>
      <c r="R628" s="856">
        <f t="shared" si="630"/>
        <v>-15.581000000000001</v>
      </c>
      <c r="S628" s="856">
        <f t="shared" si="630"/>
        <v>-16.047000000000001</v>
      </c>
      <c r="T628" s="856">
        <f t="shared" si="630"/>
        <v>-15.488</v>
      </c>
      <c r="U628" s="923">
        <f t="shared" si="630"/>
        <v>-62.283000000000001</v>
      </c>
      <c r="V628" s="856">
        <f t="shared" si="630"/>
        <v>-14.798</v>
      </c>
      <c r="W628" s="856">
        <f t="shared" si="630"/>
        <v>-14.130999999999998</v>
      </c>
      <c r="X628" s="856">
        <f t="shared" si="630"/>
        <v>-14.41</v>
      </c>
      <c r="Y628" s="856">
        <f t="shared" si="630"/>
        <v>-14.189</v>
      </c>
      <c r="Z628" s="923">
        <f t="shared" si="630"/>
        <v>-57.527999999999999</v>
      </c>
      <c r="AA628" s="856">
        <f t="shared" si="630"/>
        <v>-15.048999999999999</v>
      </c>
      <c r="AB628" s="856">
        <f t="shared" si="630"/>
        <v>-18.551000000000002</v>
      </c>
      <c r="AC628" s="856">
        <f t="shared" si="630"/>
        <v>-19.238</v>
      </c>
      <c r="AD628" s="856">
        <f t="shared" si="630"/>
        <v>-19.073</v>
      </c>
      <c r="AE628" s="923">
        <f t="shared" si="630"/>
        <v>-71.911000000000001</v>
      </c>
      <c r="AF628" s="856">
        <f t="shared" si="630"/>
        <v>-19.041</v>
      </c>
      <c r="AG628" s="856">
        <f t="shared" si="630"/>
        <v>-19.736000000000001</v>
      </c>
      <c r="AH628" s="856">
        <f t="shared" si="630"/>
        <v>-21.161000000000001</v>
      </c>
      <c r="AI628" s="856">
        <f t="shared" si="630"/>
        <v>-23.218999999999994</v>
      </c>
      <c r="AJ628" s="923">
        <f t="shared" si="630"/>
        <v>-83.156999999999996</v>
      </c>
      <c r="AK628" s="856">
        <f t="shared" si="630"/>
        <v>-23.561</v>
      </c>
      <c r="AL628" s="856">
        <f t="shared" si="630"/>
        <v>-25.496000000000002</v>
      </c>
      <c r="AM628" s="856">
        <f t="shared" si="630"/>
        <v>-26.703999999999994</v>
      </c>
      <c r="AN628" s="856">
        <f t="shared" si="630"/>
        <v>-27.817999999999998</v>
      </c>
      <c r="AO628" s="923">
        <f t="shared" si="630"/>
        <v>-103.57899999999999</v>
      </c>
      <c r="AP628" s="856">
        <f t="shared" si="630"/>
        <v>-28.516999999999999</v>
      </c>
      <c r="AQ628" s="856">
        <f t="shared" si="630"/>
        <v>-26.660999999999998</v>
      </c>
      <c r="AR628" s="856">
        <f>-AR392</f>
        <v>-28.588999999999999</v>
      </c>
      <c r="AS628" s="856">
        <f>-AS392</f>
        <v>-31.942999999999998</v>
      </c>
      <c r="AT628" s="923">
        <f>-AT392</f>
        <v>-115.71</v>
      </c>
      <c r="AU628" s="856">
        <f t="shared" ref="AU628" si="631">-AU392</f>
        <v>-35.741</v>
      </c>
      <c r="AV628" s="856">
        <f>-AV392</f>
        <v>-38.433999999999997</v>
      </c>
      <c r="AW628" s="857">
        <f>-AW392</f>
        <v>-70.253</v>
      </c>
      <c r="AX628" s="855">
        <f>-AX627*AX639*AX3/AY3</f>
        <v>-76.883895890410955</v>
      </c>
      <c r="AY628" s="854">
        <f>IF(OR(ISBLANK(AU628),ISBLANK(AV628),ISBLANK(AW628),ISBLANK(AX628)),"n/a",SUM(AU628,AV628,AW628,AX628))</f>
        <v>-221.31189589041094</v>
      </c>
      <c r="AZ628" s="855">
        <f>-AZ627*AZ639*AZ3/BD3</f>
        <v>-67.440975510602371</v>
      </c>
      <c r="BA628" s="855">
        <f>-BA627*BA639*BA3/BD3</f>
        <v>-69.976159875484157</v>
      </c>
      <c r="BB628" s="855">
        <f>-BB627*BB639*BB3/BD3</f>
        <v>-72.41001229305121</v>
      </c>
      <c r="BC628" s="855">
        <f>-BC627*BC639*BC3/BD3</f>
        <v>-73.939933803157075</v>
      </c>
      <c r="BD628" s="854">
        <f>IF(OR(ISBLANK(AZ628),ISBLANK(BA628),ISBLANK(BB628),ISBLANK(BC628)),"n/a",SUM(AZ628,BA628,BB628,BC628))</f>
        <v>-283.76708148229483</v>
      </c>
      <c r="BE628" s="854">
        <f>-BE627*BE639</f>
        <v>-299.08186497800472</v>
      </c>
      <c r="BF628" s="854">
        <f>-BF627*BF639</f>
        <v>-321.2838546828437</v>
      </c>
      <c r="BG628" s="854">
        <f>-BG627*BG639</f>
        <v>-338.6014066526181</v>
      </c>
      <c r="BH628" s="824"/>
    </row>
    <row r="629" spans="1:60" s="57" customFormat="1" x14ac:dyDescent="0.25">
      <c r="A629" s="367" t="s">
        <v>551</v>
      </c>
      <c r="B629" s="289"/>
      <c r="C629" s="854"/>
      <c r="D629" s="923">
        <f t="shared" ref="D629:AQ629" si="632">-D433</f>
        <v>157.738</v>
      </c>
      <c r="E629" s="923">
        <f t="shared" si="632"/>
        <v>134.83600000000001</v>
      </c>
      <c r="F629" s="923">
        <f t="shared" si="632"/>
        <v>88.552999999999997</v>
      </c>
      <c r="G629" s="856">
        <f t="shared" si="632"/>
        <v>33.311</v>
      </c>
      <c r="H629" s="856">
        <f t="shared" si="632"/>
        <v>22.110999999999997</v>
      </c>
      <c r="I629" s="856">
        <f t="shared" si="632"/>
        <v>26.298999999999996</v>
      </c>
      <c r="J629" s="856">
        <f t="shared" si="632"/>
        <v>38.349000000000011</v>
      </c>
      <c r="K629" s="923">
        <f t="shared" si="632"/>
        <v>120.07000000000001</v>
      </c>
      <c r="L629" s="856">
        <f t="shared" si="632"/>
        <v>28.247999999999998</v>
      </c>
      <c r="M629" s="856">
        <f t="shared" si="632"/>
        <v>40.850000000000009</v>
      </c>
      <c r="N629" s="856">
        <f t="shared" si="632"/>
        <v>36.561999999999991</v>
      </c>
      <c r="O629" s="856">
        <f t="shared" si="632"/>
        <v>38.856000000000009</v>
      </c>
      <c r="P629" s="923">
        <f t="shared" si="632"/>
        <v>144.51600000000002</v>
      </c>
      <c r="Q629" s="856">
        <f t="shared" si="632"/>
        <v>35.942</v>
      </c>
      <c r="R629" s="856">
        <f t="shared" si="632"/>
        <v>47.323999999999998</v>
      </c>
      <c r="S629" s="856">
        <f t="shared" si="632"/>
        <v>52.287000000000006</v>
      </c>
      <c r="T629" s="856">
        <f t="shared" si="632"/>
        <v>33.652999999999999</v>
      </c>
      <c r="U629" s="923">
        <f t="shared" si="632"/>
        <v>169.20600000000002</v>
      </c>
      <c r="V629" s="856">
        <f t="shared" si="632"/>
        <v>31.632000000000001</v>
      </c>
      <c r="W629" s="856">
        <f t="shared" si="632"/>
        <v>28.738</v>
      </c>
      <c r="X629" s="856">
        <f t="shared" si="632"/>
        <v>44.614999999999995</v>
      </c>
      <c r="Y629" s="856">
        <f t="shared" si="632"/>
        <v>79.845000000000013</v>
      </c>
      <c r="Z629" s="923">
        <f t="shared" si="632"/>
        <v>184.83</v>
      </c>
      <c r="AA629" s="856">
        <f t="shared" si="632"/>
        <v>77.89500000000001</v>
      </c>
      <c r="AB629" s="856">
        <f t="shared" si="632"/>
        <v>72.85499999999999</v>
      </c>
      <c r="AC629" s="856">
        <f t="shared" si="632"/>
        <v>44.180000000000007</v>
      </c>
      <c r="AD629" s="856">
        <f t="shared" si="632"/>
        <v>32.091999999999977</v>
      </c>
      <c r="AE629" s="923">
        <f t="shared" si="632"/>
        <v>227.02199999999999</v>
      </c>
      <c r="AF629" s="856">
        <f t="shared" si="632"/>
        <v>47.966000000000001</v>
      </c>
      <c r="AG629" s="856">
        <f t="shared" si="632"/>
        <v>39.874999999999993</v>
      </c>
      <c r="AH629" s="856">
        <f t="shared" si="632"/>
        <v>47.064</v>
      </c>
      <c r="AI629" s="856">
        <f t="shared" si="632"/>
        <v>77.62700000000001</v>
      </c>
      <c r="AJ629" s="923">
        <f t="shared" si="632"/>
        <v>212.53199999999998</v>
      </c>
      <c r="AK629" s="856">
        <f t="shared" si="632"/>
        <v>69.551000000000002</v>
      </c>
      <c r="AL629" s="856">
        <f t="shared" si="632"/>
        <v>47.382000000000005</v>
      </c>
      <c r="AM629" s="856">
        <f t="shared" si="632"/>
        <v>49.966999999999999</v>
      </c>
      <c r="AN629" s="856">
        <f t="shared" si="632"/>
        <v>86.134999999999991</v>
      </c>
      <c r="AO629" s="923">
        <f t="shared" si="632"/>
        <v>253.035</v>
      </c>
      <c r="AP629" s="856">
        <f t="shared" si="632"/>
        <v>98.015000000000001</v>
      </c>
      <c r="AQ629" s="856">
        <f t="shared" si="632"/>
        <v>141.74099999999999</v>
      </c>
      <c r="AR629" s="856">
        <f>-AR433</f>
        <v>109.81100000000001</v>
      </c>
      <c r="AS629" s="856">
        <f>-AS433</f>
        <v>148.35599999999999</v>
      </c>
      <c r="AT629" s="923">
        <f>-AT433</f>
        <v>497.923</v>
      </c>
      <c r="AU629" s="856">
        <f t="shared" ref="AU629" si="633">-AU433</f>
        <v>81.001000000000005</v>
      </c>
      <c r="AV629" s="856">
        <f>-AV433</f>
        <v>110.27799999999999</v>
      </c>
      <c r="AW629" s="857">
        <f>-AW433</f>
        <v>167.327</v>
      </c>
      <c r="AX629" s="855">
        <f>AX645*(1-AX646)</f>
        <v>100</v>
      </c>
      <c r="AY629" s="854">
        <f>IF(OR(ISBLANK(AU629),ISBLANK(AV629),ISBLANK(AW629),ISBLANK(AX629)),"n/a",SUM(AU629,AV629,AW629,AX629))</f>
        <v>458.60599999999999</v>
      </c>
      <c r="AZ629" s="855">
        <f>AZ645*(1-AZ646)</f>
        <v>100</v>
      </c>
      <c r="BA629" s="855">
        <f>BA645*(1-BA646)</f>
        <v>100</v>
      </c>
      <c r="BB629" s="855">
        <f>BB645*(1-BB646)</f>
        <v>100</v>
      </c>
      <c r="BC629" s="855">
        <f>BC645*(1-BC646)</f>
        <v>100</v>
      </c>
      <c r="BD629" s="854">
        <f>IF(OR(ISBLANK(AZ629),ISBLANK(BA629),ISBLANK(BB629),ISBLANK(BC629)),"n/a",SUM(AZ629,BA629,BB629,BC629))</f>
        <v>400</v>
      </c>
      <c r="BE629" s="854">
        <f>BE645*(1-BE646)</f>
        <v>400</v>
      </c>
      <c r="BF629" s="854">
        <f>BF645*(1-BF646)</f>
        <v>400</v>
      </c>
      <c r="BG629" s="854">
        <f>BG645*(1-BG646)</f>
        <v>400</v>
      </c>
      <c r="BH629" s="824"/>
    </row>
    <row r="630" spans="1:60" s="57" customFormat="1" x14ac:dyDescent="0.25">
      <c r="A630" s="367" t="s">
        <v>552</v>
      </c>
      <c r="B630" s="289"/>
      <c r="C630" s="854"/>
      <c r="D630" s="923">
        <f t="shared" ref="D630:AQ630" si="634">ROUND(D631-D627-D628-D629,6)</f>
        <v>-122.72199999999999</v>
      </c>
      <c r="E630" s="923">
        <f t="shared" si="634"/>
        <v>-83.305999999999997</v>
      </c>
      <c r="F630" s="923">
        <f t="shared" si="634"/>
        <v>-47.756</v>
      </c>
      <c r="G630" s="856">
        <f t="shared" si="634"/>
        <v>-23.622</v>
      </c>
      <c r="H630" s="856">
        <f t="shared" si="634"/>
        <v>-11.473000000000001</v>
      </c>
      <c r="I630" s="856">
        <f t="shared" si="634"/>
        <v>-15.515000000000001</v>
      </c>
      <c r="J630" s="856">
        <f t="shared" si="634"/>
        <v>-19.161999999999999</v>
      </c>
      <c r="K630" s="923">
        <f t="shared" si="634"/>
        <v>-69.772000000000006</v>
      </c>
      <c r="L630" s="856">
        <f t="shared" si="634"/>
        <v>-15.997999999999999</v>
      </c>
      <c r="M630" s="856">
        <f t="shared" si="634"/>
        <v>-19.631</v>
      </c>
      <c r="N630" s="856">
        <f t="shared" si="634"/>
        <v>-19.773</v>
      </c>
      <c r="O630" s="856">
        <f t="shared" si="634"/>
        <v>-18.815999999999999</v>
      </c>
      <c r="P630" s="923">
        <f t="shared" si="634"/>
        <v>-74.218000000000004</v>
      </c>
      <c r="Q630" s="856">
        <f t="shared" si="634"/>
        <v>-24.834</v>
      </c>
      <c r="R630" s="856">
        <f t="shared" si="634"/>
        <v>-6.1630000000000003</v>
      </c>
      <c r="S630" s="856">
        <f t="shared" si="634"/>
        <v>-26.367999999999999</v>
      </c>
      <c r="T630" s="856">
        <f t="shared" si="634"/>
        <v>-26.021000000000001</v>
      </c>
      <c r="U630" s="923">
        <f t="shared" si="634"/>
        <v>-83.385999999999996</v>
      </c>
      <c r="V630" s="856">
        <f t="shared" si="634"/>
        <v>-23.992000000000001</v>
      </c>
      <c r="W630" s="856">
        <f t="shared" si="634"/>
        <v>-17.997</v>
      </c>
      <c r="X630" s="856">
        <f t="shared" si="634"/>
        <v>-1.1930000000000001</v>
      </c>
      <c r="Y630" s="856">
        <f t="shared" si="634"/>
        <v>-7.1369999999999996</v>
      </c>
      <c r="Z630" s="923">
        <f t="shared" si="634"/>
        <v>-50.319000000000003</v>
      </c>
      <c r="AA630" s="856">
        <f t="shared" si="634"/>
        <v>-38.158000000000001</v>
      </c>
      <c r="AB630" s="856">
        <f t="shared" si="634"/>
        <v>-19.556000000000001</v>
      </c>
      <c r="AC630" s="856">
        <f t="shared" si="634"/>
        <v>-12.352</v>
      </c>
      <c r="AD630" s="856">
        <f t="shared" si="634"/>
        <v>-16.036000000000001</v>
      </c>
      <c r="AE630" s="923">
        <f t="shared" si="634"/>
        <v>-86.102000000000004</v>
      </c>
      <c r="AF630" s="856">
        <f t="shared" si="634"/>
        <v>-6.3970000000000002</v>
      </c>
      <c r="AG630" s="856">
        <f t="shared" si="634"/>
        <v>-12.425000000000001</v>
      </c>
      <c r="AH630" s="856">
        <f t="shared" si="634"/>
        <v>-4.3970000000000002</v>
      </c>
      <c r="AI630" s="856">
        <f t="shared" si="634"/>
        <v>-7.2789999999999999</v>
      </c>
      <c r="AJ630" s="923">
        <f t="shared" si="634"/>
        <v>-30.498000000000001</v>
      </c>
      <c r="AK630" s="856">
        <f t="shared" si="634"/>
        <v>-29.899000000000001</v>
      </c>
      <c r="AL630" s="856">
        <f t="shared" si="634"/>
        <v>-3.859</v>
      </c>
      <c r="AM630" s="856">
        <f t="shared" si="634"/>
        <v>6.33</v>
      </c>
      <c r="AN630" s="856">
        <f t="shared" si="634"/>
        <v>24.911999999999999</v>
      </c>
      <c r="AO630" s="923">
        <f t="shared" si="634"/>
        <v>-2.516</v>
      </c>
      <c r="AP630" s="856">
        <f t="shared" si="634"/>
        <v>15.736000000000001</v>
      </c>
      <c r="AQ630" s="856">
        <f t="shared" si="634"/>
        <v>-13.593999999999999</v>
      </c>
      <c r="AR630" s="856">
        <f t="shared" ref="AR630:AX630" si="635">ROUND(AR631-AR627-AR628-AR629,6)</f>
        <v>-5.0449999999999999</v>
      </c>
      <c r="AS630" s="856">
        <f t="shared" si="635"/>
        <v>15.651999999999999</v>
      </c>
      <c r="AT630" s="923">
        <f t="shared" si="635"/>
        <v>12.749000000000001</v>
      </c>
      <c r="AU630" s="856">
        <f t="shared" si="635"/>
        <v>9.9760000000000009</v>
      </c>
      <c r="AV630" s="856">
        <f>ROUND(AV631-AV627-AV628-AV629,6)</f>
        <v>20.173999999999999</v>
      </c>
      <c r="AW630" s="857">
        <f>ROUND(AW631-AW627-AW628-AW629,6)</f>
        <v>15.603</v>
      </c>
      <c r="AX630" s="855">
        <f t="shared" si="635"/>
        <v>0</v>
      </c>
      <c r="AY630" s="854">
        <f>ROUND(AY631-AY627-IF(ISNUMBER(AY628),AY628,0)-IF(ISNUMBER(AY629),AY629,0),6)</f>
        <v>45.753</v>
      </c>
      <c r="AZ630" s="855">
        <f>ROUND(AZ631-AZ627-AZ628-AZ629,6)</f>
        <v>0</v>
      </c>
      <c r="BA630" s="855">
        <f>ROUND(BA631-BA627-BA628-BA629,6)</f>
        <v>0</v>
      </c>
      <c r="BB630" s="855">
        <f>ROUND(BB631-BB627-BB628-BB629,6)</f>
        <v>0</v>
      </c>
      <c r="BC630" s="855">
        <f>ROUND(BC631-BC627-BC628-BC629,6)</f>
        <v>0</v>
      </c>
      <c r="BD630" s="854">
        <f>ROUND(BD631-BD627-IF(ISNUMBER(BD628),BD628,0)-IF(ISNUMBER(BD629),BD629,0),6)</f>
        <v>0</v>
      </c>
      <c r="BE630" s="854">
        <f>ROUND(BE631-BE627-BE628-BE629,6)</f>
        <v>0</v>
      </c>
      <c r="BF630" s="854">
        <f>ROUND(BF631-BF627-BF628-BF629,6)</f>
        <v>0</v>
      </c>
      <c r="BG630" s="854">
        <f>ROUND(BG631-BG627-BG628-BG629,6)</f>
        <v>0</v>
      </c>
      <c r="BH630" s="824"/>
    </row>
    <row r="631" spans="1:60" s="57" customFormat="1" x14ac:dyDescent="0.25">
      <c r="A631" s="433" t="s">
        <v>547</v>
      </c>
      <c r="B631" s="532"/>
      <c r="C631" s="929">
        <f t="shared" ref="C631:AH631" si="636">C669</f>
        <v>131.65299999999999</v>
      </c>
      <c r="D631" s="929">
        <f t="shared" si="636"/>
        <v>128.57</v>
      </c>
      <c r="E631" s="929">
        <f t="shared" si="636"/>
        <v>136.35300000000001</v>
      </c>
      <c r="F631" s="929">
        <f t="shared" si="636"/>
        <v>131.68100000000001</v>
      </c>
      <c r="G631" s="930">
        <f t="shared" si="636"/>
        <v>129.31899999999999</v>
      </c>
      <c r="H631" s="930">
        <f t="shared" si="636"/>
        <v>127.931</v>
      </c>
      <c r="I631" s="930">
        <f t="shared" si="636"/>
        <v>127.26300000000001</v>
      </c>
      <c r="J631" s="930">
        <f t="shared" si="636"/>
        <v>133.60499999999999</v>
      </c>
      <c r="K631" s="929">
        <f t="shared" si="636"/>
        <v>133.60499999999999</v>
      </c>
      <c r="L631" s="930">
        <f t="shared" si="636"/>
        <v>133.47300000000001</v>
      </c>
      <c r="M631" s="930">
        <f t="shared" si="636"/>
        <v>141.715</v>
      </c>
      <c r="N631" s="930">
        <f t="shared" si="636"/>
        <v>144.14699999999999</v>
      </c>
      <c r="O631" s="930">
        <f t="shared" si="636"/>
        <v>149.875</v>
      </c>
      <c r="P631" s="929">
        <f t="shared" si="636"/>
        <v>149.875</v>
      </c>
      <c r="Q631" s="930">
        <f t="shared" si="636"/>
        <v>145.816</v>
      </c>
      <c r="R631" s="930">
        <f t="shared" si="636"/>
        <v>171.39599999999999</v>
      </c>
      <c r="S631" s="930">
        <f t="shared" si="636"/>
        <v>181.268</v>
      </c>
      <c r="T631" s="930">
        <f t="shared" si="636"/>
        <v>173.41200000000001</v>
      </c>
      <c r="U631" s="929">
        <f t="shared" si="636"/>
        <v>173.41200000000001</v>
      </c>
      <c r="V631" s="930">
        <f t="shared" si="636"/>
        <v>166.25399999999999</v>
      </c>
      <c r="W631" s="930">
        <f t="shared" si="636"/>
        <v>162.864</v>
      </c>
      <c r="X631" s="930">
        <f t="shared" si="636"/>
        <v>191.876</v>
      </c>
      <c r="Y631" s="930">
        <f t="shared" si="636"/>
        <v>250.39500000000001</v>
      </c>
      <c r="Z631" s="929">
        <f t="shared" si="636"/>
        <v>250.39500000000001</v>
      </c>
      <c r="AA631" s="930">
        <f t="shared" si="636"/>
        <v>275.08300000000003</v>
      </c>
      <c r="AB631" s="930">
        <f t="shared" si="636"/>
        <v>309.83100000000002</v>
      </c>
      <c r="AC631" s="930">
        <f t="shared" si="636"/>
        <v>322.42099999999999</v>
      </c>
      <c r="AD631" s="930">
        <f t="shared" si="636"/>
        <v>319.404</v>
      </c>
      <c r="AE631" s="929">
        <f t="shared" si="636"/>
        <v>319.404</v>
      </c>
      <c r="AF631" s="930">
        <f t="shared" si="636"/>
        <v>341.93200000000002</v>
      </c>
      <c r="AG631" s="930">
        <f t="shared" si="636"/>
        <v>349.64600000000002</v>
      </c>
      <c r="AH631" s="930">
        <f t="shared" si="636"/>
        <v>371.15199999999999</v>
      </c>
      <c r="AI631" s="930">
        <f t="shared" ref="AI631:AY631" si="637">AI669</f>
        <v>418.28100000000001</v>
      </c>
      <c r="AJ631" s="929">
        <f t="shared" si="637"/>
        <v>418.28100000000001</v>
      </c>
      <c r="AK631" s="930">
        <f t="shared" si="637"/>
        <v>434.37200000000001</v>
      </c>
      <c r="AL631" s="930">
        <f t="shared" si="637"/>
        <v>452.399</v>
      </c>
      <c r="AM631" s="930">
        <f t="shared" si="637"/>
        <v>481.99200000000002</v>
      </c>
      <c r="AN631" s="930">
        <f t="shared" si="637"/>
        <v>565.221</v>
      </c>
      <c r="AO631" s="929">
        <f t="shared" si="637"/>
        <v>565.221</v>
      </c>
      <c r="AP631" s="930">
        <f t="shared" si="637"/>
        <v>650.45500000000004</v>
      </c>
      <c r="AQ631" s="930">
        <f t="shared" si="637"/>
        <v>751.94100000000003</v>
      </c>
      <c r="AR631" s="930">
        <f>AR669</f>
        <v>828.11800000000005</v>
      </c>
      <c r="AS631" s="930">
        <f>AS669</f>
        <v>960.18299999999999</v>
      </c>
      <c r="AT631" s="929">
        <f>AT669</f>
        <v>960.18299999999999</v>
      </c>
      <c r="AU631" s="930">
        <f t="shared" ref="AU631" si="638">AU669</f>
        <v>1015.419</v>
      </c>
      <c r="AV631" s="930">
        <f>AV669</f>
        <v>1107.4369999999999</v>
      </c>
      <c r="AW631" s="931">
        <f>AW669</f>
        <v>1220.114</v>
      </c>
      <c r="AX631" s="932">
        <f t="shared" si="637"/>
        <v>1243.2301041095891</v>
      </c>
      <c r="AY631" s="933">
        <f t="shared" si="637"/>
        <v>1243.2301041095891</v>
      </c>
      <c r="AZ631" s="932">
        <f t="shared" ref="AZ631:BG631" si="639">AZ669</f>
        <v>1275.7891285989867</v>
      </c>
      <c r="BA631" s="932">
        <f t="shared" si="639"/>
        <v>1305.8129687235025</v>
      </c>
      <c r="BB631" s="932">
        <f t="shared" si="639"/>
        <v>1333.4029564304512</v>
      </c>
      <c r="BC631" s="932">
        <f t="shared" si="639"/>
        <v>1359.4630226272941</v>
      </c>
      <c r="BD631" s="933">
        <f t="shared" si="639"/>
        <v>1359.4630226272941</v>
      </c>
      <c r="BE631" s="933">
        <f t="shared" si="639"/>
        <v>1460.3811576492894</v>
      </c>
      <c r="BF631" s="933">
        <f t="shared" si="639"/>
        <v>1539.0973029664458</v>
      </c>
      <c r="BG631" s="933">
        <f t="shared" si="639"/>
        <v>1600.4958963138276</v>
      </c>
      <c r="BH631" s="824"/>
    </row>
    <row r="632" spans="1:60" s="57" customFormat="1" x14ac:dyDescent="0.25">
      <c r="A632" s="178"/>
      <c r="B632" s="289"/>
      <c r="C632" s="854"/>
      <c r="D632" s="854"/>
      <c r="E632" s="854"/>
      <c r="F632" s="854"/>
      <c r="G632" s="855"/>
      <c r="H632" s="855"/>
      <c r="I632" s="855"/>
      <c r="J632" s="855"/>
      <c r="K632" s="854"/>
      <c r="L632" s="855"/>
      <c r="M632" s="855"/>
      <c r="N632" s="855"/>
      <c r="O632" s="855"/>
      <c r="P632" s="854"/>
      <c r="Q632" s="855"/>
      <c r="R632" s="855"/>
      <c r="S632" s="855"/>
      <c r="T632" s="855"/>
      <c r="U632" s="854"/>
      <c r="V632" s="855"/>
      <c r="W632" s="855"/>
      <c r="X632" s="855"/>
      <c r="Y632" s="855"/>
      <c r="Z632" s="854"/>
      <c r="AA632" s="855"/>
      <c r="AB632" s="855"/>
      <c r="AC632" s="855"/>
      <c r="AD632" s="855"/>
      <c r="AE632" s="854"/>
      <c r="AF632" s="855"/>
      <c r="AG632" s="855"/>
      <c r="AH632" s="855"/>
      <c r="AI632" s="855"/>
      <c r="AJ632" s="854"/>
      <c r="AK632" s="855"/>
      <c r="AL632" s="855"/>
      <c r="AM632" s="855"/>
      <c r="AN632" s="855"/>
      <c r="AO632" s="854"/>
      <c r="AP632" s="855"/>
      <c r="AQ632" s="855"/>
      <c r="AR632" s="855"/>
      <c r="AS632" s="855"/>
      <c r="AT632" s="854"/>
      <c r="AU632" s="855"/>
      <c r="AV632" s="855"/>
      <c r="AW632" s="863"/>
      <c r="AX632" s="855"/>
      <c r="AY632" s="854"/>
      <c r="AZ632" s="855"/>
      <c r="BA632" s="855"/>
      <c r="BB632" s="855"/>
      <c r="BC632" s="855"/>
      <c r="BD632" s="854"/>
      <c r="BE632" s="854"/>
      <c r="BF632" s="854"/>
      <c r="BG632" s="854"/>
      <c r="BH632" s="824"/>
    </row>
    <row r="633" spans="1:60" s="57" customFormat="1" x14ac:dyDescent="0.25">
      <c r="A633" s="63" t="s">
        <v>554</v>
      </c>
      <c r="B633" s="423"/>
      <c r="C633" s="848"/>
      <c r="D633" s="926">
        <f t="shared" ref="D633:J633" si="640">C637</f>
        <v>146.13900000000001</v>
      </c>
      <c r="E633" s="926">
        <f t="shared" si="640"/>
        <v>361.97900000000004</v>
      </c>
      <c r="F633" s="926">
        <f t="shared" si="640"/>
        <v>1966.643</v>
      </c>
      <c r="G633" s="927">
        <f t="shared" si="640"/>
        <v>2874.17</v>
      </c>
      <c r="H633" s="927">
        <f t="shared" si="640"/>
        <v>2968.1790000000001</v>
      </c>
      <c r="I633" s="927">
        <f t="shared" si="640"/>
        <v>3045.8109999999997</v>
      </c>
      <c r="J633" s="927">
        <f t="shared" si="640"/>
        <v>3385.9009999999998</v>
      </c>
      <c r="K633" s="926">
        <f>F637</f>
        <v>2874.17</v>
      </c>
      <c r="L633" s="927">
        <f>K637</f>
        <v>3797.4920000000002</v>
      </c>
      <c r="M633" s="927">
        <f>L637</f>
        <v>3950.884</v>
      </c>
      <c r="N633" s="927">
        <f>M637</f>
        <v>4135.1369999999997</v>
      </c>
      <c r="O633" s="927">
        <f>N637</f>
        <v>4638.8630000000003</v>
      </c>
      <c r="P633" s="926">
        <f>K637</f>
        <v>3797.4920000000002</v>
      </c>
      <c r="Q633" s="927">
        <f>P637</f>
        <v>4899.0280000000002</v>
      </c>
      <c r="R633" s="927">
        <f>Q637</f>
        <v>5682.8</v>
      </c>
      <c r="S633" s="927">
        <f>R637</f>
        <v>6151.7129999999997</v>
      </c>
      <c r="T633" s="927">
        <f>S637</f>
        <v>6586.9740000000002</v>
      </c>
      <c r="U633" s="926">
        <f>P637</f>
        <v>4899.0280000000002</v>
      </c>
      <c r="V633" s="927">
        <f>U637</f>
        <v>7218.8150000000005</v>
      </c>
      <c r="W633" s="927">
        <f>V637</f>
        <v>8518.8009999999995</v>
      </c>
      <c r="X633" s="927">
        <f>W637</f>
        <v>9092.2000000000007</v>
      </c>
      <c r="Y633" s="927">
        <f>X637</f>
        <v>10310.073</v>
      </c>
      <c r="Z633" s="926">
        <f>U637</f>
        <v>7218.8150000000005</v>
      </c>
      <c r="AA633" s="927">
        <f>Z637</f>
        <v>11000.808000000001</v>
      </c>
      <c r="AB633" s="927">
        <f>AA637</f>
        <v>12055.726999999999</v>
      </c>
      <c r="AC633" s="927">
        <f>AB637</f>
        <v>13227.584999999999</v>
      </c>
      <c r="AD633" s="927">
        <f>AC637</f>
        <v>13963.091</v>
      </c>
      <c r="AE633" s="926">
        <f>Z637</f>
        <v>11000.808000000001</v>
      </c>
      <c r="AF633" s="927">
        <f>AE637</f>
        <v>14681.989000000001</v>
      </c>
      <c r="AG633" s="927">
        <f>AF637</f>
        <v>15941.325000000001</v>
      </c>
      <c r="AH633" s="927">
        <f>AG637</f>
        <v>17095.733</v>
      </c>
      <c r="AI633" s="927">
        <f>AH637</f>
        <v>18396.359</v>
      </c>
      <c r="AJ633" s="926">
        <f>AE637</f>
        <v>14681.989000000001</v>
      </c>
      <c r="AK633" s="927">
        <f>AJ637</f>
        <v>20112.14</v>
      </c>
      <c r="AL633" s="927">
        <f>AK637</f>
        <v>20888.785</v>
      </c>
      <c r="AM633" s="927">
        <f>AL637</f>
        <v>21945.74</v>
      </c>
      <c r="AN633" s="927">
        <f>AM637</f>
        <v>23234.993999999999</v>
      </c>
      <c r="AO633" s="926">
        <f>AJ637</f>
        <v>20112.14</v>
      </c>
      <c r="AP633" s="927">
        <f>AO637</f>
        <v>24504.567000000003</v>
      </c>
      <c r="AQ633" s="927">
        <f>AP637</f>
        <v>25266.888999999999</v>
      </c>
      <c r="AR633" s="927">
        <f>AQ637</f>
        <v>25155.116999999998</v>
      </c>
      <c r="AS633" s="927">
        <f>AR637</f>
        <v>25067.633000000002</v>
      </c>
      <c r="AT633" s="926">
        <f>AO637</f>
        <v>24504.567000000003</v>
      </c>
      <c r="AU633" s="927">
        <f>AT637</f>
        <v>25383.949999999997</v>
      </c>
      <c r="AV633" s="927">
        <f>AU637</f>
        <v>26043.990999999998</v>
      </c>
      <c r="AW633" s="928">
        <f>AV637</f>
        <v>27291.64</v>
      </c>
      <c r="AX633" s="849">
        <f>AW637</f>
        <v>28974.044999999998</v>
      </c>
      <c r="AY633" s="848">
        <f>AT637</f>
        <v>25383.949999999997</v>
      </c>
      <c r="AZ633" s="849">
        <f>AY637</f>
        <v>29505.097694520548</v>
      </c>
      <c r="BA633" s="849">
        <f>AZ637</f>
        <v>30376.748980060423</v>
      </c>
      <c r="BB633" s="849">
        <f>BA637</f>
        <v>31195.928853983962</v>
      </c>
      <c r="BC633" s="849">
        <f>BB637</f>
        <v>31893.433810373164</v>
      </c>
      <c r="BD633" s="848">
        <f>AY637</f>
        <v>29505.097694520548</v>
      </c>
      <c r="BE633" s="848">
        <f>BD637</f>
        <v>32517.098790009277</v>
      </c>
      <c r="BF633" s="848">
        <f>BE637</f>
        <v>34859.917298205379</v>
      </c>
      <c r="BG633" s="848">
        <f>BF637</f>
        <v>36218.752032959121</v>
      </c>
      <c r="BH633" s="824"/>
    </row>
    <row r="634" spans="1:60" s="57" customFormat="1" x14ac:dyDescent="0.25">
      <c r="A634" s="367" t="s">
        <v>555</v>
      </c>
      <c r="B634" s="289"/>
      <c r="C634" s="854"/>
      <c r="D634" s="923">
        <f t="shared" ref="D634:AV634" si="641">-D558-D559</f>
        <v>-300.596</v>
      </c>
      <c r="E634" s="923">
        <f t="shared" si="641"/>
        <v>-795.87200000000007</v>
      </c>
      <c r="F634" s="923">
        <f t="shared" si="641"/>
        <v>-1656.614</v>
      </c>
      <c r="G634" s="856">
        <f t="shared" si="641"/>
        <v>-503.97700000000003</v>
      </c>
      <c r="H634" s="856">
        <f t="shared" si="641"/>
        <v>-527.95899999999995</v>
      </c>
      <c r="I634" s="856">
        <f t="shared" si="641"/>
        <v>-570.94000000000005</v>
      </c>
      <c r="J634" s="856">
        <f t="shared" si="641"/>
        <v>-590.43000000000018</v>
      </c>
      <c r="K634" s="923">
        <f t="shared" si="641"/>
        <v>-2193.306</v>
      </c>
      <c r="L634" s="856">
        <f t="shared" si="641"/>
        <v>-616.85599999999999</v>
      </c>
      <c r="M634" s="856">
        <f t="shared" si="641"/>
        <v>-655.95999999999992</v>
      </c>
      <c r="N634" s="856">
        <f t="shared" si="641"/>
        <v>-704.423</v>
      </c>
      <c r="O634" s="856">
        <f t="shared" si="641"/>
        <v>-750.53100000000006</v>
      </c>
      <c r="P634" s="923">
        <f t="shared" si="641"/>
        <v>-2727.77</v>
      </c>
      <c r="Q634" s="856">
        <f t="shared" si="641"/>
        <v>-770.70299999999997</v>
      </c>
      <c r="R634" s="856">
        <f t="shared" si="641"/>
        <v>-843.4129999999999</v>
      </c>
      <c r="S634" s="856">
        <f t="shared" si="641"/>
        <v>-889.9920000000003</v>
      </c>
      <c r="T634" s="856">
        <f t="shared" si="641"/>
        <v>-980.65399999999988</v>
      </c>
      <c r="U634" s="923">
        <f t="shared" si="641"/>
        <v>-3484.7620000000002</v>
      </c>
      <c r="V634" s="856">
        <f t="shared" si="641"/>
        <v>-1078.962</v>
      </c>
      <c r="W634" s="856">
        <f t="shared" si="641"/>
        <v>-1195.3820000000001</v>
      </c>
      <c r="X634" s="856">
        <f t="shared" si="641"/>
        <v>-1243.3919999999998</v>
      </c>
      <c r="Y634" s="856">
        <f t="shared" si="641"/>
        <v>-1349.7139999999997</v>
      </c>
      <c r="Z634" s="923">
        <f t="shared" si="641"/>
        <v>-4867.45</v>
      </c>
      <c r="AA634" s="856">
        <f t="shared" si="641"/>
        <v>-1324.2809999999999</v>
      </c>
      <c r="AB634" s="856">
        <f t="shared" si="641"/>
        <v>-1567.3049999999998</v>
      </c>
      <c r="AC634" s="856">
        <f t="shared" si="641"/>
        <v>-1640.7359999999999</v>
      </c>
      <c r="AD634" s="856">
        <f t="shared" si="641"/>
        <v>-1726.1520000000003</v>
      </c>
      <c r="AE634" s="923">
        <f t="shared" si="641"/>
        <v>-6258.4740000000002</v>
      </c>
      <c r="AF634" s="856">
        <f t="shared" si="641"/>
        <v>-1759.9780000000001</v>
      </c>
      <c r="AG634" s="856">
        <f t="shared" si="641"/>
        <v>-1828.971</v>
      </c>
      <c r="AH634" s="856">
        <f t="shared" si="641"/>
        <v>-1921.7259999999999</v>
      </c>
      <c r="AI634" s="856">
        <f t="shared" si="641"/>
        <v>-2062.625</v>
      </c>
      <c r="AJ634" s="923">
        <f t="shared" si="641"/>
        <v>-7573.3</v>
      </c>
      <c r="AK634" s="856">
        <f t="shared" si="641"/>
        <v>-2124.6860000000001</v>
      </c>
      <c r="AL634" s="856">
        <f t="shared" si="641"/>
        <v>-2231.9149999999995</v>
      </c>
      <c r="AM634" s="856">
        <f t="shared" si="641"/>
        <v>-2279.9770000000008</v>
      </c>
      <c r="AN634" s="856">
        <f t="shared" si="641"/>
        <v>-2579.668999999999</v>
      </c>
      <c r="AO634" s="923">
        <f t="shared" si="641"/>
        <v>-9216.2469999999994</v>
      </c>
      <c r="AP634" s="856">
        <f t="shared" si="641"/>
        <v>-2483.3850000000002</v>
      </c>
      <c r="AQ634" s="856">
        <f t="shared" si="641"/>
        <v>-2607.1589999999997</v>
      </c>
      <c r="AR634" s="856">
        <f t="shared" si="641"/>
        <v>-2733.7430000000004</v>
      </c>
      <c r="AS634" s="856">
        <f t="shared" si="641"/>
        <v>-2982.625</v>
      </c>
      <c r="AT634" s="923">
        <f t="shared" si="641"/>
        <v>-10806.912</v>
      </c>
      <c r="AU634" s="856">
        <f t="shared" si="641"/>
        <v>-2719.1959999999999</v>
      </c>
      <c r="AV634" s="856">
        <f t="shared" si="641"/>
        <v>-2806.8029999999999</v>
      </c>
      <c r="AW634" s="857">
        <f>-AW558-AW559</f>
        <v>-2963.0509999999995</v>
      </c>
      <c r="AX634" s="855">
        <f>-AX633*AX640*AX3/AY3</f>
        <v>-3468.9473054794516</v>
      </c>
      <c r="AY634" s="854">
        <f>IF(OR(ISBLANK(AU634),ISBLANK(AV634),ISBLANK(AW634),ISBLANK(AX634)),"n/a",SUM(AU634,AV634,AW634,AX634))</f>
        <v>-11957.99730547945</v>
      </c>
      <c r="AZ634" s="855">
        <f>-AZ633*AZ640*AZ3/BD3</f>
        <v>-3128.3487144601236</v>
      </c>
      <c r="BA634" s="855">
        <f>-BA633*BA640*BA3/BD3</f>
        <v>-3180.8201260764636</v>
      </c>
      <c r="BB634" s="855">
        <f>-BB633*BB640*BB3/BD3</f>
        <v>-3302.4950436107956</v>
      </c>
      <c r="BC634" s="855">
        <f>-BC633*BC640*BC3/BD3</f>
        <v>-3376.3350203638879</v>
      </c>
      <c r="BD634" s="854">
        <f>IF(OR(ISBLANK(AZ634),ISBLANK(BA634),ISBLANK(BB634),ISBLANK(BC634)),"n/a",SUM(AZ634,BA634,BB634,BC634))</f>
        <v>-12987.998904511271</v>
      </c>
      <c r="BE634" s="854">
        <f>-BE633*BE640</f>
        <v>-13657.181491803896</v>
      </c>
      <c r="BF634" s="854">
        <f>-BF633*BF640</f>
        <v>-14641.165265246258</v>
      </c>
      <c r="BG634" s="854">
        <f>-BG633*BG640</f>
        <v>-15211.87585384283</v>
      </c>
      <c r="BH634" s="824"/>
    </row>
    <row r="635" spans="1:60" s="57" customFormat="1" x14ac:dyDescent="0.25">
      <c r="A635" s="178" t="s">
        <v>557</v>
      </c>
      <c r="B635" s="289"/>
      <c r="C635" s="854"/>
      <c r="D635" s="854">
        <f t="shared" ref="D635:AQ635" si="642">-D556</f>
        <v>406.21</v>
      </c>
      <c r="E635" s="854">
        <f t="shared" si="642"/>
        <v>2320.732</v>
      </c>
      <c r="F635" s="854">
        <f t="shared" si="642"/>
        <v>2515.5059999999999</v>
      </c>
      <c r="G635" s="855">
        <f t="shared" si="642"/>
        <v>591.94100000000003</v>
      </c>
      <c r="H635" s="855">
        <f t="shared" si="642"/>
        <v>593.45399999999995</v>
      </c>
      <c r="I635" s="855">
        <f t="shared" si="642"/>
        <v>878.31399999999985</v>
      </c>
      <c r="J635" s="855">
        <f t="shared" si="642"/>
        <v>986.04899999999998</v>
      </c>
      <c r="K635" s="854">
        <f t="shared" si="642"/>
        <v>3049.7579999999998</v>
      </c>
      <c r="L635" s="855">
        <f t="shared" si="642"/>
        <v>749.399</v>
      </c>
      <c r="M635" s="855">
        <f t="shared" si="642"/>
        <v>813.31399999999996</v>
      </c>
      <c r="N635" s="855">
        <f t="shared" si="642"/>
        <v>1202.4840000000002</v>
      </c>
      <c r="O635" s="855">
        <f t="shared" si="642"/>
        <v>1008.2619999999997</v>
      </c>
      <c r="P635" s="854">
        <f t="shared" si="642"/>
        <v>3773.4589999999998</v>
      </c>
      <c r="Q635" s="855">
        <f t="shared" si="642"/>
        <v>1611.925</v>
      </c>
      <c r="R635" s="855">
        <f t="shared" si="642"/>
        <v>1273.6769999999999</v>
      </c>
      <c r="S635" s="855">
        <f t="shared" si="642"/>
        <v>1308.9430000000002</v>
      </c>
      <c r="T635" s="855">
        <f t="shared" si="642"/>
        <v>1577.107</v>
      </c>
      <c r="U635" s="854">
        <f t="shared" si="642"/>
        <v>5771.652</v>
      </c>
      <c r="V635" s="855">
        <f t="shared" si="642"/>
        <v>2316.5990000000002</v>
      </c>
      <c r="W635" s="855">
        <f t="shared" si="642"/>
        <v>1791.7659999999996</v>
      </c>
      <c r="X635" s="855">
        <f t="shared" si="642"/>
        <v>2442.08</v>
      </c>
      <c r="Y635" s="855">
        <f t="shared" si="642"/>
        <v>2102.8410000000003</v>
      </c>
      <c r="Z635" s="854">
        <f t="shared" si="642"/>
        <v>8653.2860000000001</v>
      </c>
      <c r="AA635" s="855">
        <f t="shared" si="642"/>
        <v>2348.6660000000002</v>
      </c>
      <c r="AB635" s="855">
        <f t="shared" si="642"/>
        <v>2664.4210000000003</v>
      </c>
      <c r="AC635" s="855">
        <f t="shared" si="642"/>
        <v>2315.0169999999998</v>
      </c>
      <c r="AD635" s="855">
        <f t="shared" si="642"/>
        <v>2477.6590000000006</v>
      </c>
      <c r="AE635" s="854">
        <f t="shared" si="642"/>
        <v>9805.7630000000008</v>
      </c>
      <c r="AF635" s="855">
        <f t="shared" si="642"/>
        <v>2986.7469999999998</v>
      </c>
      <c r="AG635" s="855">
        <f t="shared" si="642"/>
        <v>3033.721</v>
      </c>
      <c r="AH635" s="855">
        <f t="shared" si="642"/>
        <v>3238.7169999999996</v>
      </c>
      <c r="AI635" s="855">
        <f t="shared" si="642"/>
        <v>3784.2520000000004</v>
      </c>
      <c r="AJ635" s="854">
        <f t="shared" si="642"/>
        <v>13043.437</v>
      </c>
      <c r="AK635" s="855">
        <f t="shared" si="642"/>
        <v>2997.7460000000001</v>
      </c>
      <c r="AL635" s="855">
        <f t="shared" si="642"/>
        <v>3325.1030000000001</v>
      </c>
      <c r="AM635" s="855">
        <f t="shared" si="642"/>
        <v>3648.2919999999995</v>
      </c>
      <c r="AN635" s="855">
        <f t="shared" si="642"/>
        <v>3945.5420000000013</v>
      </c>
      <c r="AO635" s="854">
        <f t="shared" si="642"/>
        <v>13916.683000000001</v>
      </c>
      <c r="AP635" s="855">
        <f t="shared" si="642"/>
        <v>3294.2750000000001</v>
      </c>
      <c r="AQ635" s="855">
        <f t="shared" si="642"/>
        <v>2510.7819999999997</v>
      </c>
      <c r="AR635" s="855">
        <f>-AR556</f>
        <v>2653.8859999999995</v>
      </c>
      <c r="AS635" s="855">
        <f>-AS556</f>
        <v>3320.3410000000003</v>
      </c>
      <c r="AT635" s="854">
        <f>-AT556</f>
        <v>11779.284</v>
      </c>
      <c r="AU635" s="855">
        <f t="shared" ref="AU635" si="643">-AU556</f>
        <v>3284.576</v>
      </c>
      <c r="AV635" s="855">
        <f>-AV556</f>
        <v>4096.75</v>
      </c>
      <c r="AW635" s="863">
        <f>-AW556</f>
        <v>4666.2370000000001</v>
      </c>
      <c r="AX635" s="934">
        <v>4000</v>
      </c>
      <c r="AY635" s="854">
        <f>IF(OR(ISBLANK(AU635),ISBLANK(AV635),ISBLANK(AW635),ISBLANK(AX635)),"n/a",SUM(AU635,AV635,AW635,AX635))</f>
        <v>16047.563</v>
      </c>
      <c r="AZ635" s="934">
        <v>4000</v>
      </c>
      <c r="BA635" s="934">
        <v>4000</v>
      </c>
      <c r="BB635" s="934">
        <v>4000</v>
      </c>
      <c r="BC635" s="934">
        <v>4000</v>
      </c>
      <c r="BD635" s="854">
        <f>IF(OR(ISBLANK(AZ635),ISBLANK(BA635),ISBLANK(BB635),ISBLANK(BC635)),"n/a",SUM(AZ635,BA635,BB635,BC635))</f>
        <v>16000</v>
      </c>
      <c r="BE635" s="935">
        <v>16000</v>
      </c>
      <c r="BF635" s="935">
        <v>16000</v>
      </c>
      <c r="BG635" s="935">
        <v>16000</v>
      </c>
      <c r="BH635" s="824"/>
    </row>
    <row r="636" spans="1:60" s="57" customFormat="1" x14ac:dyDescent="0.25">
      <c r="A636" s="367" t="s">
        <v>558</v>
      </c>
      <c r="B636" s="289"/>
      <c r="C636" s="854"/>
      <c r="D636" s="923">
        <f t="shared" ref="D636:AQ636" si="644">ROUND(D637-D633-D634-D635,6)</f>
        <v>110.226</v>
      </c>
      <c r="E636" s="923">
        <f t="shared" si="644"/>
        <v>79.804000000000002</v>
      </c>
      <c r="F636" s="923">
        <f t="shared" si="644"/>
        <v>48.634999999999998</v>
      </c>
      <c r="G636" s="856">
        <f t="shared" si="644"/>
        <v>6.0449999999999999</v>
      </c>
      <c r="H636" s="856">
        <f t="shared" si="644"/>
        <v>12.137</v>
      </c>
      <c r="I636" s="856">
        <f t="shared" si="644"/>
        <v>32.716000000000001</v>
      </c>
      <c r="J636" s="856">
        <f t="shared" si="644"/>
        <v>15.972</v>
      </c>
      <c r="K636" s="923">
        <f t="shared" si="644"/>
        <v>66.87</v>
      </c>
      <c r="L636" s="856">
        <f t="shared" si="644"/>
        <v>20.849</v>
      </c>
      <c r="M636" s="856">
        <f t="shared" si="644"/>
        <v>26.899000000000001</v>
      </c>
      <c r="N636" s="856">
        <f t="shared" si="644"/>
        <v>5.665</v>
      </c>
      <c r="O636" s="856">
        <f t="shared" si="644"/>
        <v>2.4340000000000002</v>
      </c>
      <c r="P636" s="923">
        <f t="shared" si="644"/>
        <v>55.847000000000001</v>
      </c>
      <c r="Q636" s="856">
        <f t="shared" si="644"/>
        <v>-57.45</v>
      </c>
      <c r="R636" s="856">
        <f t="shared" si="644"/>
        <v>38.649000000000001</v>
      </c>
      <c r="S636" s="856">
        <f t="shared" si="644"/>
        <v>16.309999999999999</v>
      </c>
      <c r="T636" s="856">
        <f t="shared" si="644"/>
        <v>35.387999999999998</v>
      </c>
      <c r="U636" s="923">
        <f t="shared" si="644"/>
        <v>32.896999999999998</v>
      </c>
      <c r="V636" s="856">
        <f t="shared" si="644"/>
        <v>62.348999999999997</v>
      </c>
      <c r="W636" s="856">
        <f t="shared" si="644"/>
        <v>-22.984999999999999</v>
      </c>
      <c r="X636" s="856">
        <f t="shared" si="644"/>
        <v>19.184999999999999</v>
      </c>
      <c r="Y636" s="856">
        <f t="shared" si="644"/>
        <v>-62.392000000000003</v>
      </c>
      <c r="Z636" s="923">
        <f t="shared" si="644"/>
        <v>-3.843</v>
      </c>
      <c r="AA636" s="856">
        <f t="shared" si="644"/>
        <v>30.533999999999999</v>
      </c>
      <c r="AB636" s="856">
        <f t="shared" si="644"/>
        <v>74.742000000000004</v>
      </c>
      <c r="AC636" s="856">
        <f t="shared" si="644"/>
        <v>61.225000000000001</v>
      </c>
      <c r="AD636" s="856">
        <f t="shared" si="644"/>
        <v>-32.609000000000002</v>
      </c>
      <c r="AE636" s="923">
        <f t="shared" si="644"/>
        <v>133.892</v>
      </c>
      <c r="AF636" s="856">
        <f t="shared" si="644"/>
        <v>32.567</v>
      </c>
      <c r="AG636" s="856">
        <f t="shared" si="644"/>
        <v>-50.341999999999999</v>
      </c>
      <c r="AH636" s="856">
        <f t="shared" si="644"/>
        <v>-16.364999999999998</v>
      </c>
      <c r="AI636" s="856">
        <f t="shared" si="644"/>
        <v>-5.8460000000000001</v>
      </c>
      <c r="AJ636" s="923">
        <f t="shared" si="644"/>
        <v>-39.985999999999997</v>
      </c>
      <c r="AK636" s="856">
        <f t="shared" si="644"/>
        <v>-96.415000000000006</v>
      </c>
      <c r="AL636" s="856">
        <f t="shared" si="644"/>
        <v>-36.232999999999997</v>
      </c>
      <c r="AM636" s="856">
        <f t="shared" si="644"/>
        <v>-79.061000000000007</v>
      </c>
      <c r="AN636" s="856">
        <f t="shared" si="644"/>
        <v>-96.3</v>
      </c>
      <c r="AO636" s="923">
        <f t="shared" si="644"/>
        <v>-308.00900000000001</v>
      </c>
      <c r="AP636" s="856">
        <f t="shared" si="644"/>
        <v>-48.567999999999998</v>
      </c>
      <c r="AQ636" s="856">
        <f t="shared" si="644"/>
        <v>-15.395</v>
      </c>
      <c r="AR636" s="856">
        <f t="shared" ref="AR636:AX636" si="645">ROUND(AR637-AR633-AR634-AR635,6)</f>
        <v>-7.6269999999999998</v>
      </c>
      <c r="AS636" s="856">
        <f t="shared" si="645"/>
        <v>-21.399000000000001</v>
      </c>
      <c r="AT636" s="923">
        <f t="shared" si="645"/>
        <v>-92.989000000000004</v>
      </c>
      <c r="AU636" s="856">
        <f t="shared" si="645"/>
        <v>94.661000000000001</v>
      </c>
      <c r="AV636" s="856">
        <f>ROUND(AV637-AV633-AV634-AV635,6)</f>
        <v>-42.298000000000002</v>
      </c>
      <c r="AW636" s="857">
        <f>ROUND(AW637-AW633-AW634-AW635,6)</f>
        <v>-20.780999999999999</v>
      </c>
      <c r="AX636" s="855">
        <f t="shared" si="645"/>
        <v>0</v>
      </c>
      <c r="AY636" s="854">
        <f>ROUND(AY637-AY633-IF(ISNUMBER(AY634),AY634,0)-IF(ISNUMBER(AY635),AY635,0),6)</f>
        <v>31.582000000000001</v>
      </c>
      <c r="AZ636" s="855">
        <f>ROUND(AZ637-AZ633-AZ634-AZ635,6)</f>
        <v>0</v>
      </c>
      <c r="BA636" s="855">
        <f>ROUND(BA637-BA633-BA634-BA635,6)</f>
        <v>0</v>
      </c>
      <c r="BB636" s="855">
        <f>ROUND(BB637-BB633-BB634-BB635,6)</f>
        <v>0</v>
      </c>
      <c r="BC636" s="855">
        <f>ROUND(BC637-BC633-BC634-BC635,6)</f>
        <v>0</v>
      </c>
      <c r="BD636" s="854">
        <f>ROUND(BD637-BD633-IF(ISNUMBER(BD634),BD634,0)-IF(ISNUMBER(BD635),BD635,0),6)</f>
        <v>0</v>
      </c>
      <c r="BE636" s="854">
        <f>ROUND(BE637-BE633-BE634-BE635,6)</f>
        <v>0</v>
      </c>
      <c r="BF636" s="854">
        <f>ROUND(BF637-BF633-BF634-BF635,6)</f>
        <v>0</v>
      </c>
      <c r="BG636" s="854">
        <f>ROUND(BG637-BG633-BG634-BG635,6)</f>
        <v>0</v>
      </c>
      <c r="BH636" s="824"/>
    </row>
    <row r="637" spans="1:60" s="57" customFormat="1" x14ac:dyDescent="0.25">
      <c r="A637" s="433" t="s">
        <v>553</v>
      </c>
      <c r="B637" s="532"/>
      <c r="C637" s="929">
        <f t="shared" ref="C637:AI637" si="646">C668+C654</f>
        <v>146.13900000000001</v>
      </c>
      <c r="D637" s="929">
        <f t="shared" si="646"/>
        <v>361.97900000000004</v>
      </c>
      <c r="E637" s="929">
        <f t="shared" si="646"/>
        <v>1966.643</v>
      </c>
      <c r="F637" s="929">
        <f t="shared" si="646"/>
        <v>2874.17</v>
      </c>
      <c r="G637" s="930">
        <f t="shared" si="646"/>
        <v>2968.1790000000001</v>
      </c>
      <c r="H637" s="930">
        <f t="shared" si="646"/>
        <v>3045.8109999999997</v>
      </c>
      <c r="I637" s="930">
        <f t="shared" si="646"/>
        <v>3385.9009999999998</v>
      </c>
      <c r="J637" s="930">
        <f t="shared" si="646"/>
        <v>3797.4920000000002</v>
      </c>
      <c r="K637" s="929">
        <f t="shared" si="646"/>
        <v>3797.4920000000002</v>
      </c>
      <c r="L637" s="930">
        <f t="shared" si="646"/>
        <v>3950.884</v>
      </c>
      <c r="M637" s="930">
        <f t="shared" si="646"/>
        <v>4135.1369999999997</v>
      </c>
      <c r="N637" s="930">
        <f t="shared" si="646"/>
        <v>4638.8630000000003</v>
      </c>
      <c r="O637" s="930">
        <f t="shared" si="646"/>
        <v>4899.0280000000002</v>
      </c>
      <c r="P637" s="929">
        <f t="shared" si="646"/>
        <v>4899.0280000000002</v>
      </c>
      <c r="Q637" s="930">
        <f t="shared" si="646"/>
        <v>5682.8</v>
      </c>
      <c r="R637" s="930">
        <f t="shared" si="646"/>
        <v>6151.7129999999997</v>
      </c>
      <c r="S637" s="930">
        <f t="shared" si="646"/>
        <v>6586.9740000000002</v>
      </c>
      <c r="T637" s="930">
        <f t="shared" si="646"/>
        <v>7218.8150000000005</v>
      </c>
      <c r="U637" s="929">
        <f t="shared" si="646"/>
        <v>7218.8150000000005</v>
      </c>
      <c r="V637" s="930">
        <f t="shared" si="646"/>
        <v>8518.8009999999995</v>
      </c>
      <c r="W637" s="930">
        <f t="shared" si="646"/>
        <v>9092.2000000000007</v>
      </c>
      <c r="X637" s="930">
        <f t="shared" si="646"/>
        <v>10310.073</v>
      </c>
      <c r="Y637" s="930">
        <f t="shared" si="646"/>
        <v>11000.808000000001</v>
      </c>
      <c r="Z637" s="929">
        <f t="shared" si="646"/>
        <v>11000.808000000001</v>
      </c>
      <c r="AA637" s="930">
        <f t="shared" si="646"/>
        <v>12055.726999999999</v>
      </c>
      <c r="AB637" s="930">
        <f t="shared" si="646"/>
        <v>13227.584999999999</v>
      </c>
      <c r="AC637" s="930">
        <f t="shared" si="646"/>
        <v>13963.091</v>
      </c>
      <c r="AD637" s="930">
        <f t="shared" si="646"/>
        <v>14681.989000000001</v>
      </c>
      <c r="AE637" s="929">
        <f t="shared" si="646"/>
        <v>14681.989000000001</v>
      </c>
      <c r="AF637" s="930">
        <f t="shared" si="646"/>
        <v>15941.325000000001</v>
      </c>
      <c r="AG637" s="930">
        <f t="shared" si="646"/>
        <v>17095.733</v>
      </c>
      <c r="AH637" s="930">
        <f t="shared" si="646"/>
        <v>18396.359</v>
      </c>
      <c r="AI637" s="930">
        <f t="shared" si="646"/>
        <v>20112.14</v>
      </c>
      <c r="AJ637" s="929">
        <f>AJ668+AJ654</f>
        <v>20112.14</v>
      </c>
      <c r="AK637" s="930">
        <f t="shared" ref="AK637:AQ637" si="647">AK668+AK654</f>
        <v>20888.785</v>
      </c>
      <c r="AL637" s="930">
        <f t="shared" si="647"/>
        <v>21945.74</v>
      </c>
      <c r="AM637" s="930">
        <f t="shared" si="647"/>
        <v>23234.993999999999</v>
      </c>
      <c r="AN637" s="930">
        <f t="shared" si="647"/>
        <v>24504.567000000003</v>
      </c>
      <c r="AO637" s="929">
        <f t="shared" si="647"/>
        <v>24504.567000000003</v>
      </c>
      <c r="AP637" s="930">
        <f t="shared" si="647"/>
        <v>25266.888999999999</v>
      </c>
      <c r="AQ637" s="930">
        <f t="shared" si="647"/>
        <v>25155.116999999998</v>
      </c>
      <c r="AR637" s="930">
        <f>AR668+AR654</f>
        <v>25067.633000000002</v>
      </c>
      <c r="AS637" s="930">
        <f>AS668+AS654</f>
        <v>25383.949999999997</v>
      </c>
      <c r="AT637" s="929">
        <f>AT668+AT654</f>
        <v>25383.949999999997</v>
      </c>
      <c r="AU637" s="930">
        <f t="shared" ref="AU637" si="648">AU668+AU654</f>
        <v>26043.990999999998</v>
      </c>
      <c r="AV637" s="930">
        <f>AV668+AV654</f>
        <v>27291.64</v>
      </c>
      <c r="AW637" s="931">
        <f>AW668+AW654</f>
        <v>28974.044999999998</v>
      </c>
      <c r="AX637" s="932">
        <f>AX668</f>
        <v>29505.097694520548</v>
      </c>
      <c r="AY637" s="933">
        <f>AY668</f>
        <v>29505.097694520548</v>
      </c>
      <c r="AZ637" s="932">
        <f t="shared" ref="AZ637:BG637" si="649">AZ668</f>
        <v>30376.748980060423</v>
      </c>
      <c r="BA637" s="932">
        <f t="shared" si="649"/>
        <v>31195.928853983962</v>
      </c>
      <c r="BB637" s="932">
        <f t="shared" si="649"/>
        <v>31893.433810373164</v>
      </c>
      <c r="BC637" s="932">
        <f t="shared" si="649"/>
        <v>32517.098790009277</v>
      </c>
      <c r="BD637" s="933">
        <f t="shared" si="649"/>
        <v>32517.098790009277</v>
      </c>
      <c r="BE637" s="933">
        <f t="shared" si="649"/>
        <v>34859.917298205379</v>
      </c>
      <c r="BF637" s="933">
        <f t="shared" si="649"/>
        <v>36218.752032959121</v>
      </c>
      <c r="BG637" s="933">
        <f t="shared" si="649"/>
        <v>37006.876179116291</v>
      </c>
      <c r="BH637" s="824"/>
    </row>
    <row r="638" spans="1:60" s="57" customFormat="1" x14ac:dyDescent="0.25">
      <c r="A638" s="178"/>
      <c r="B638" s="289"/>
      <c r="C638" s="854"/>
      <c r="D638" s="854"/>
      <c r="E638" s="854"/>
      <c r="F638" s="854"/>
      <c r="G638" s="855"/>
      <c r="H638" s="855"/>
      <c r="I638" s="855"/>
      <c r="J638" s="855"/>
      <c r="K638" s="854"/>
      <c r="L638" s="855"/>
      <c r="M638" s="855"/>
      <c r="N638" s="855"/>
      <c r="O638" s="855"/>
      <c r="P638" s="854"/>
      <c r="Q638" s="855"/>
      <c r="R638" s="855"/>
      <c r="S638" s="855"/>
      <c r="T638" s="855"/>
      <c r="U638" s="854"/>
      <c r="V638" s="855"/>
      <c r="W638" s="855"/>
      <c r="X638" s="855"/>
      <c r="Y638" s="855"/>
      <c r="Z638" s="854"/>
      <c r="AA638" s="855"/>
      <c r="AB638" s="855"/>
      <c r="AC638" s="855"/>
      <c r="AD638" s="855"/>
      <c r="AE638" s="854"/>
      <c r="AF638" s="855"/>
      <c r="AG638" s="855"/>
      <c r="AH638" s="855"/>
      <c r="AI638" s="855"/>
      <c r="AJ638" s="854"/>
      <c r="AK638" s="855"/>
      <c r="AL638" s="855"/>
      <c r="AM638" s="855"/>
      <c r="AN638" s="855"/>
      <c r="AO638" s="854"/>
      <c r="AP638" s="855"/>
      <c r="AQ638" s="855"/>
      <c r="AR638" s="855"/>
      <c r="AS638" s="855"/>
      <c r="AT638" s="854"/>
      <c r="AU638" s="855"/>
      <c r="AV638" s="855"/>
      <c r="AW638" s="863"/>
      <c r="AX638" s="855"/>
      <c r="AY638" s="854"/>
      <c r="AZ638" s="855"/>
      <c r="BA638" s="855"/>
      <c r="BB638" s="855"/>
      <c r="BC638" s="855"/>
      <c r="BD638" s="854"/>
      <c r="BE638" s="854"/>
      <c r="BF638" s="854"/>
      <c r="BG638" s="854"/>
      <c r="BH638" s="824"/>
    </row>
    <row r="639" spans="1:60" s="57" customFormat="1" x14ac:dyDescent="0.25">
      <c r="A639" s="434" t="s">
        <v>550</v>
      </c>
      <c r="B639" s="837"/>
      <c r="C639" s="165"/>
      <c r="D639" s="435">
        <f>IFERROR(-D628/D627,"n/a")</f>
        <v>0.2893895315716315</v>
      </c>
      <c r="E639" s="435">
        <f>IFERROR(-E628/E627,"n/a")</f>
        <v>0.34025822509138992</v>
      </c>
      <c r="F639" s="435">
        <f>IFERROR(-F628/F627,"n/a")</f>
        <v>0.33346534363013647</v>
      </c>
      <c r="G639" s="436">
        <f>IFERROR(-G628/G627*K3/G3,"n/a")</f>
        <v>0.3711507354895543</v>
      </c>
      <c r="H639" s="436">
        <f>IFERROR(-H628/H627*K3/H3,"n/a")</f>
        <v>0.37300129019056638</v>
      </c>
      <c r="I639" s="436">
        <f>IFERROR(-I628/I627*K3/I3,"n/a")</f>
        <v>0.35514898826235475</v>
      </c>
      <c r="J639" s="436">
        <f>IFERROR(-J628/J627*K3/J3,"n/a")</f>
        <v>0.4004395724157675</v>
      </c>
      <c r="K639" s="435">
        <f>IFERROR(-K628/K627,"n/a")</f>
        <v>0.36735747754041964</v>
      </c>
      <c r="L639" s="436">
        <f>IFERROR(-L628/L627*P3/L3,"n/a")</f>
        <v>0.37585336543459369</v>
      </c>
      <c r="M639" s="436">
        <f>IFERROR(-M628/M627*P3/M3,"n/a")</f>
        <v>0.3899710383044091</v>
      </c>
      <c r="N639" s="436">
        <f>IFERROR(-N628/N627*P3/N3,"n/a")</f>
        <v>0.40193230749406716</v>
      </c>
      <c r="O639" s="436">
        <f>IFERROR(-O628/O627*P3/O3,"n/a")</f>
        <v>0.3939124945217457</v>
      </c>
      <c r="P639" s="435">
        <f>IFERROR(-P628/P627,"n/a")</f>
        <v>0.404386063395831</v>
      </c>
      <c r="Q639" s="436">
        <f>IFERROR(-Q628/Q627*U3/Q3,"n/a")</f>
        <v>0.41041275136687982</v>
      </c>
      <c r="R639" s="436">
        <f>IFERROR(-R628/R627*U3/R3,"n/a")</f>
        <v>0.42858959085573456</v>
      </c>
      <c r="S639" s="436">
        <f>IFERROR(-S628/S627*U3/S3,"n/a")</f>
        <v>0.37144815667150671</v>
      </c>
      <c r="T639" s="436">
        <f>IFERROR(-T628/T627*U3/T3,"n/a")</f>
        <v>0.33898402653385667</v>
      </c>
      <c r="U639" s="435">
        <f>IFERROR(-U628/U627,"n/a")</f>
        <v>0.41556630525437865</v>
      </c>
      <c r="V639" s="436">
        <f>IFERROR(-V628/V627*Z3/V3,"n/a")</f>
        <v>0.34321287321079719</v>
      </c>
      <c r="W639" s="436">
        <f>IFERROR(-W628/W627*Z3/W3,"n/a")</f>
        <v>0.34185385872563323</v>
      </c>
      <c r="X639" s="436">
        <f>IFERROR(-X628/X627*Z3/X3,"n/a")</f>
        <v>0.35199147221261168</v>
      </c>
      <c r="Y639" s="436">
        <f>IFERROR(-Y628/Y627*Z3/Y3,"n/a")</f>
        <v>0.29418761845285951</v>
      </c>
      <c r="Z639" s="435">
        <f>IFERROR(-Z628/Z627,"n/a")</f>
        <v>0.3317417479759186</v>
      </c>
      <c r="AA639" s="436">
        <f>IFERROR(-AA628/AA627*AE3/AA3,"n/a")</f>
        <v>0.24374310811140615</v>
      </c>
      <c r="AB639" s="436">
        <f>IFERROR(-AB628/AB627*AE3/AB3,"n/a")</f>
        <v>0.27049238645375084</v>
      </c>
      <c r="AC639" s="436">
        <f>IFERROR(-AC628/AC627*AE3/AC3,"n/a")</f>
        <v>0.24634292215124851</v>
      </c>
      <c r="AD639" s="436">
        <f>IFERROR(-AD628/AD627*AE3/AD3,"n/a")</f>
        <v>0.23469331820143877</v>
      </c>
      <c r="AE639" s="435">
        <f>IFERROR(-AE628/AE627,"n/a")</f>
        <v>0.28719023942171368</v>
      </c>
      <c r="AF639" s="436">
        <f>IFERROR(-AF628/AF627*AJ3/AF3,"n/a")</f>
        <v>0.24176852304083024</v>
      </c>
      <c r="AG639" s="436">
        <f>IFERROR(-AG628/AG627*AJ3/AG3,"n/a")</f>
        <v>0.23151059017839545</v>
      </c>
      <c r="AH639" s="436">
        <f>IFERROR(-AH628/AH627*AJ3/AH3,"n/a")</f>
        <v>0.24011133372412197</v>
      </c>
      <c r="AI639" s="436">
        <f>IFERROR(-AI628/AI627*AJ3/AI3,"n/a")</f>
        <v>0.24819712326931323</v>
      </c>
      <c r="AJ639" s="435">
        <f>IFERROR(-AJ628/AJ627,"n/a")</f>
        <v>0.26035052785813578</v>
      </c>
      <c r="AK639" s="436">
        <f>IFERROR(-AK628/AK627*AO3/AK3,"n/a")</f>
        <v>0.22844199101667167</v>
      </c>
      <c r="AL639" s="436">
        <f>IFERROR(-AL628/AL627*AO3/AL3,"n/a")</f>
        <v>0.23542994443512893</v>
      </c>
      <c r="AM639" s="436">
        <f>IFERROR(-AM628/AM627*AO3/AM3,"n/a")</f>
        <v>0.23418534831267163</v>
      </c>
      <c r="AN639" s="436">
        <f>IFERROR(-AN628/AN627*AO3/AN3,"n/a")</f>
        <v>0.22897660397755112</v>
      </c>
      <c r="AO639" s="435">
        <f>IFERROR(-AO628/AO627,"n/a")</f>
        <v>0.24763018162431474</v>
      </c>
      <c r="AP639" s="436">
        <f>IFERROR(-AP628/AP627*AT3/AP3,"n/a")</f>
        <v>0.20292018034140141</v>
      </c>
      <c r="AQ639" s="436">
        <f>IFERROR(-AQ628/AQ627*AT3/AQ3,"n/a")</f>
        <v>0.16485376550869169</v>
      </c>
      <c r="AR639" s="436">
        <f>IFERROR(-AR628/AR627*AT3/AR3,"n/a")</f>
        <v>0.15125455321627629</v>
      </c>
      <c r="AS639" s="436">
        <f>IFERROR(-AS628/AS627*AT3/AS3,"n/a")</f>
        <v>0.15345347759198774</v>
      </c>
      <c r="AT639" s="435">
        <f>IFERROR(-AT628/AT627,"n/a")</f>
        <v>0.2047163852723094</v>
      </c>
      <c r="AU639" s="436">
        <f>IFERROR(-AU628/AU627*AY3/AU3,"n/a")</f>
        <v>0.15096040141422115</v>
      </c>
      <c r="AV639" s="436">
        <f>IFERROR(-AV628/AV627*AY3/AV3,"n/a")</f>
        <v>0.1518174779557519</v>
      </c>
      <c r="AW639" s="596">
        <f>IFERROR(-AW628/AW627*AY3/AW3,"n/a")</f>
        <v>0.25168126160165122</v>
      </c>
      <c r="AX639" s="437">
        <v>0.25</v>
      </c>
      <c r="AY639" s="165">
        <f>AVERAGE(AU639,AV639,AW639,AX639)</f>
        <v>0.20111478524290605</v>
      </c>
      <c r="AZ639" s="437">
        <v>0.22</v>
      </c>
      <c r="BA639" s="437">
        <v>0.22</v>
      </c>
      <c r="BB639" s="437">
        <v>0.22</v>
      </c>
      <c r="BC639" s="437">
        <v>0.22</v>
      </c>
      <c r="BD639" s="165">
        <f>AVERAGE(AZ639,BA639,BB639,BC639)</f>
        <v>0.22</v>
      </c>
      <c r="BE639" s="438">
        <v>0.22</v>
      </c>
      <c r="BF639" s="438">
        <v>0.22</v>
      </c>
      <c r="BG639" s="438">
        <v>0.22</v>
      </c>
      <c r="BH639" s="824"/>
    </row>
    <row r="640" spans="1:60" s="57" customFormat="1" x14ac:dyDescent="0.25">
      <c r="A640" s="434" t="s">
        <v>556</v>
      </c>
      <c r="B640" s="837"/>
      <c r="C640" s="165"/>
      <c r="D640" s="435">
        <f>IFERROR(-D634/D633,"n/a")</f>
        <v>2.0569184132914553</v>
      </c>
      <c r="E640" s="435">
        <f>IFERROR(-E634/E633,"n/a")</f>
        <v>2.1986689835598199</v>
      </c>
      <c r="F640" s="435">
        <f>IFERROR(-F634/F633,"n/a")</f>
        <v>0.84235623852422636</v>
      </c>
      <c r="G640" s="436">
        <f>IFERROR(-G634/G633*K3/G3,"n/a")</f>
        <v>0.71112937725403247</v>
      </c>
      <c r="H640" s="436">
        <f>IFERROR(-H634/H633*K3/H3,"n/a")</f>
        <v>0.71344677906984277</v>
      </c>
      <c r="I640" s="436">
        <f>IFERROR(-I634/I633*K3/I3,"n/a")</f>
        <v>0.74369105348439157</v>
      </c>
      <c r="J640" s="436">
        <f>IFERROR(-J634/J633*K3/J3,"n/a")</f>
        <v>0.69182969254744542</v>
      </c>
      <c r="K640" s="435">
        <f>IFERROR(-K634/K633,"n/a")</f>
        <v>0.76310934982968992</v>
      </c>
      <c r="L640" s="436">
        <f>IFERROR(-L634/L633*P3/L3,"n/a")</f>
        <v>0.65877525950753224</v>
      </c>
      <c r="M640" s="436">
        <f>IFERROR(-M634/M633*P3/M3,"n/a")</f>
        <v>0.66593915479380095</v>
      </c>
      <c r="N640" s="436">
        <f>IFERROR(-N634/N633*P3/N3,"n/a")</f>
        <v>0.67584742289859046</v>
      </c>
      <c r="O640" s="436">
        <f>IFERROR(-O634/O633*P3/O3,"n/a")</f>
        <v>0.64189224019840163</v>
      </c>
      <c r="P640" s="435">
        <f>IFERROR(-P634/P633,"n/a")</f>
        <v>0.71830829400035601</v>
      </c>
      <c r="Q640" s="436">
        <f>IFERROR(-Q634/Q633*U3/Q3,"n/a")</f>
        <v>0.63800999572432193</v>
      </c>
      <c r="R640" s="436">
        <f>IFERROR(-R634/R633*U3/R3,"n/a")</f>
        <v>0.59529110204921409</v>
      </c>
      <c r="S640" s="436">
        <f>IFERROR(-S634/S633*U3/S3,"n/a")</f>
        <v>0.57397777200255151</v>
      </c>
      <c r="T640" s="436">
        <f>IFERROR(-T634/T633*U3/T3,"n/a")</f>
        <v>0.5906563700075198</v>
      </c>
      <c r="U640" s="435">
        <f>IFERROR(-U634/U633,"n/a")</f>
        <v>0.71131702043752354</v>
      </c>
      <c r="V640" s="436">
        <f>IFERROR(-V634/V633*Z3/V3,"n/a")</f>
        <v>0.60114595685710881</v>
      </c>
      <c r="W640" s="436">
        <f>IFERROR(-W634/W633*Z3/W3,"n/a")</f>
        <v>0.56437521335081453</v>
      </c>
      <c r="X640" s="436">
        <f>IFERROR(-X634/X633*Z3/X3,"n/a")</f>
        <v>0.54404189735492336</v>
      </c>
      <c r="Y640" s="436">
        <f>IFERROR(-Y634/Y633*Z3/Y3,"n/a")</f>
        <v>0.5208027519595978</v>
      </c>
      <c r="Z640" s="435">
        <f>IFERROR(-Z634/Z633,"n/a")</f>
        <v>0.67427271650540976</v>
      </c>
      <c r="AA640" s="436">
        <f>IFERROR(-AA634/AA633*AE3/AA3,"n/a")</f>
        <v>0.48820915397002346</v>
      </c>
      <c r="AB640" s="436">
        <f>IFERROR(-AB634/AB633*AE3/AB3,"n/a")</f>
        <v>0.52144869669561456</v>
      </c>
      <c r="AC640" s="436">
        <f>IFERROR(-AC634/AC633*AE3/AC3,"n/a")</f>
        <v>0.49211112528329509</v>
      </c>
      <c r="AD640" s="436">
        <f>IFERROR(-AD634/AD633*AE3/AD3,"n/a")</f>
        <v>0.49045876982271397</v>
      </c>
      <c r="AE640" s="435">
        <f>IFERROR(-AE634/AE633,"n/a")</f>
        <v>0.56891039276387689</v>
      </c>
      <c r="AF640" s="436">
        <f>IFERROR(-AF634/AF633*AJ3/AF3,"n/a")</f>
        <v>0.48615269740057399</v>
      </c>
      <c r="AG640" s="436">
        <f>IFERROR(-AG634/AG633*AJ3/AG3,"n/a")</f>
        <v>0.46018650158738889</v>
      </c>
      <c r="AH640" s="436">
        <f>IFERROR(-AH634/AH633*AJ3/AH3,"n/a")</f>
        <v>0.44597321575735471</v>
      </c>
      <c r="AI640" s="436">
        <f>IFERROR(-AI634/AI633*AJ3/AI3,"n/a")</f>
        <v>0.44482935395696699</v>
      </c>
      <c r="AJ640" s="435">
        <f>IFERROR(-AJ634/AJ633,"n/a")</f>
        <v>0.51582248154524568</v>
      </c>
      <c r="AK640" s="436">
        <f>IFERROR(-AK634/AK633*AO3/AK3,"n/a")</f>
        <v>0.42843686008108101</v>
      </c>
      <c r="AL640" s="436">
        <f>IFERROR(-AL634/AL633*AO3/AL3,"n/a")</f>
        <v>0.42856425294537409</v>
      </c>
      <c r="AM640" s="436">
        <f>IFERROR(-AM634/AM633*AO3/AM3,"n/a")</f>
        <v>0.41217844209915205</v>
      </c>
      <c r="AN640" s="436">
        <f>IFERROR(-AN634/AN633*AO3/AN3,"n/a")</f>
        <v>0.44048026690670322</v>
      </c>
      <c r="AO640" s="435">
        <f>IFERROR(-AO634/AO633,"n/a")</f>
        <v>0.45824298160215671</v>
      </c>
      <c r="AP640" s="436">
        <f>IFERROR(-AP634/AP633*AT3/AP3,"n/a")</f>
        <v>0.40760238245017305</v>
      </c>
      <c r="AQ640" s="436">
        <f>IFERROR(-AQ634/AQ633*AT3/AQ3,"n/a")</f>
        <v>0.41500701561645348</v>
      </c>
      <c r="AR640" s="436">
        <f>IFERROR(-AR634/AR633*AT3/AR3,"n/a")</f>
        <v>0.4323391858741038</v>
      </c>
      <c r="AS640" s="436">
        <f>IFERROR(-AS634/AS633*AT3/AS3,"n/a")</f>
        <v>0.47334586101874698</v>
      </c>
      <c r="AT640" s="435">
        <f>IFERROR(-AT634/AT633,"n/a")</f>
        <v>0.44101623995233213</v>
      </c>
      <c r="AU640" s="436">
        <f>IFERROR(-AU634/AU633*AY3/AU3,"n/a")</f>
        <v>0.43444185969655802</v>
      </c>
      <c r="AV640" s="436">
        <f>IFERROR(-AV634/AV633*AY3/AV3,"n/a")</f>
        <v>0.43227076790999464</v>
      </c>
      <c r="AW640" s="596">
        <f>IFERROR(-AW634/AW633*AY3/AW3,"n/a")</f>
        <v>0.43073933159528444</v>
      </c>
      <c r="AX640" s="437">
        <v>0.47499999999999998</v>
      </c>
      <c r="AY640" s="165">
        <f>AVERAGE(AU640,AV640,AW640,AX640)</f>
        <v>0.44311298980045932</v>
      </c>
      <c r="AZ640" s="437">
        <v>0.43</v>
      </c>
      <c r="BA640" s="437">
        <v>0.42</v>
      </c>
      <c r="BB640" s="437">
        <v>0.42</v>
      </c>
      <c r="BC640" s="437">
        <v>0.42</v>
      </c>
      <c r="BD640" s="165">
        <f>AVERAGE(AZ640,BA640,BB640,BC640)</f>
        <v>0.42249999999999999</v>
      </c>
      <c r="BE640" s="438">
        <v>0.42</v>
      </c>
      <c r="BF640" s="438">
        <v>0.42</v>
      </c>
      <c r="BG640" s="438">
        <v>0.42</v>
      </c>
      <c r="BH640" s="824"/>
    </row>
    <row r="641" spans="1:60" s="57" customFormat="1" x14ac:dyDescent="0.25">
      <c r="A641" s="63" t="s">
        <v>559</v>
      </c>
      <c r="B641" s="423"/>
      <c r="C641" s="440"/>
      <c r="D641" s="408">
        <f>IFERROR(-D627/D628,"n/a")</f>
        <v>3.4555500144360747</v>
      </c>
      <c r="E641" s="408">
        <f>IFERROR(-E627/E628,"n/a")</f>
        <v>2.9389443847578116</v>
      </c>
      <c r="F641" s="408">
        <f>IFERROR(-F627/F628,"n/a")</f>
        <v>2.9988123776639029</v>
      </c>
      <c r="G641" s="407">
        <f>IFERROR(-G627/G628*G3/K3,"n/a")</f>
        <v>2.6943230994301617</v>
      </c>
      <c r="H641" s="407">
        <f>IFERROR(-H627/H628*H3/K3,"n/a")</f>
        <v>2.6809558741448316</v>
      </c>
      <c r="I641" s="407">
        <f>IFERROR(-I627/I628*I3/K3,"n/a")</f>
        <v>2.8157196924387193</v>
      </c>
      <c r="J641" s="407">
        <f>IFERROR(-J627/J628*J3/K3,"n/a")</f>
        <v>2.4972556882108603</v>
      </c>
      <c r="K641" s="408">
        <f>IFERROR(-K627/K628,"n/a")</f>
        <v>2.7221441270103774</v>
      </c>
      <c r="L641" s="407">
        <f>IFERROR(-L627/L628*L3/P3,"n/a")</f>
        <v>2.660612068336051</v>
      </c>
      <c r="M641" s="407">
        <f>IFERROR(-M627/M628*M3/P3,"n/a")</f>
        <v>2.5642929904435774</v>
      </c>
      <c r="N641" s="407">
        <f>IFERROR(-N627/N628*N3/P3,"n/a")</f>
        <v>2.4879811385024344</v>
      </c>
      <c r="O641" s="407">
        <f>IFERROR(-O627/O628*O3/P3,"n/a")</f>
        <v>2.5386348844154161</v>
      </c>
      <c r="P641" s="408">
        <f>IFERROR(-P627/P628,"n/a")</f>
        <v>2.4728844302954021</v>
      </c>
      <c r="Q641" s="407">
        <f>IFERROR(-Q627/Q628*Q3/U3,"n/a")</f>
        <v>2.4365714677955297</v>
      </c>
      <c r="R641" s="407">
        <f>IFERROR(-R627/R628*R3/U3,"n/a")</f>
        <v>2.3332344539758205</v>
      </c>
      <c r="S641" s="407">
        <f>IFERROR(-S627/S628*S3/U3,"n/a")</f>
        <v>2.6921657357539619</v>
      </c>
      <c r="T641" s="407">
        <f>IFERROR(-T627/T628*T3/U3,"n/a")</f>
        <v>2.9499915091135516</v>
      </c>
      <c r="U641" s="408">
        <f>IFERROR(-U627/U628,"n/a")</f>
        <v>2.4063548640881138</v>
      </c>
      <c r="V641" s="407">
        <f>IFERROR(-V627/V628*V3/Z3,"n/a")</f>
        <v>2.9136436248584765</v>
      </c>
      <c r="W641" s="407">
        <f>IFERROR(-W627/W628*W3/Z3,"n/a")</f>
        <v>2.9252265974934768</v>
      </c>
      <c r="X641" s="407">
        <f>IFERROR(-X627/X628*X3/Z3,"n/a")</f>
        <v>2.8409779183399508</v>
      </c>
      <c r="Y641" s="407">
        <f>IFERROR(-Y627/Y628*Y3/Z3,"n/a")</f>
        <v>3.3991913230714008</v>
      </c>
      <c r="Z641" s="408">
        <f>IFERROR(-Z627/Z628,"n/a")</f>
        <v>3.014392991239049</v>
      </c>
      <c r="AA641" s="407">
        <f>IFERROR(-AA627/AA628*AA3/AE3,"n/a")</f>
        <v>4.1026801034429088</v>
      </c>
      <c r="AB641" s="407">
        <f>IFERROR(-AB627/AB628*AB3/AE3,"n/a")</f>
        <v>3.6969617263921823</v>
      </c>
      <c r="AC641" s="407">
        <f>IFERROR(-AC627/AC628*AC3/AE3,"n/a")</f>
        <v>4.0593819025416309</v>
      </c>
      <c r="AD641" s="407">
        <f>IFERROR(-AD627/AD628*AD3/AE3,"n/a")</f>
        <v>4.2608797202385347</v>
      </c>
      <c r="AE641" s="408">
        <f>IFERROR(-AE627/AE628,"n/a")</f>
        <v>3.4820124876583556</v>
      </c>
      <c r="AF641" s="407">
        <f>IFERROR(-AF627/AF628*AF3/AJ3,"n/a")</f>
        <v>4.1361877361972326</v>
      </c>
      <c r="AG641" s="407">
        <f>IFERROR(-AG627/AG628*AG3/AJ3,"n/a")</f>
        <v>4.3194568301580869</v>
      </c>
      <c r="AH641" s="407">
        <f>IFERROR(-AH627/AH628*AH3/AJ3,"n/a")</f>
        <v>4.1647346857394032</v>
      </c>
      <c r="AI641" s="407">
        <f>IFERROR(-AI627/AI628*AI3/AJ3,"n/a")</f>
        <v>4.0290555620780584</v>
      </c>
      <c r="AJ641" s="408">
        <f>IFERROR(-AJ627/AJ628,"n/a")</f>
        <v>3.840975504166817</v>
      </c>
      <c r="AK641" s="407">
        <f>IFERROR(-AK627/AK628*AK3/AO3,"n/a")</f>
        <v>4.377478919482102</v>
      </c>
      <c r="AL641" s="407">
        <f>IFERROR(-AL627/AL628*AL3/AO3,"n/a")</f>
        <v>4.2475480440660043</v>
      </c>
      <c r="AM641" s="407">
        <f>IFERROR(-AM627/AM628*AM3/AO3,"n/a")</f>
        <v>4.2701219662335754</v>
      </c>
      <c r="AN641" s="407">
        <f>IFERROR(-AN627/AN628*AN3/AO3,"n/a")</f>
        <v>4.3672584125583427</v>
      </c>
      <c r="AO641" s="408">
        <f>IFERROR(-AO627/AO628,"n/a")</f>
        <v>4.0382799602235977</v>
      </c>
      <c r="AP641" s="407">
        <f>IFERROR(-AP627/AP628*AP3/AT3,"n/a")</f>
        <v>4.9280460835268238</v>
      </c>
      <c r="AQ641" s="407">
        <f>IFERROR(-AQ627/AQ628*AQ3/AT3,"n/a")</f>
        <v>6.0659821564541492</v>
      </c>
      <c r="AR641" s="407">
        <f>IFERROR(-AR627/AR628*AR3/AT3,"n/a")</f>
        <v>6.6113712198145684</v>
      </c>
      <c r="AS641" s="407">
        <f>IFERROR(-AS627/AS628*AS3/AT3,"n/a")</f>
        <v>6.5166330258012524</v>
      </c>
      <c r="AT641" s="408">
        <f>IFERROR(-AT627/AT628,"n/a")</f>
        <v>4.8848068446979518</v>
      </c>
      <c r="AU641" s="407">
        <f>IFERROR(-AU627/AU628*AU3/AY3,"n/a")</f>
        <v>6.624253715754862</v>
      </c>
      <c r="AV641" s="407">
        <f>IFERROR(-AV627/AV628*AV3/AY3,"n/a")</f>
        <v>6.5868568854203717</v>
      </c>
      <c r="AW641" s="597">
        <f>IFERROR(-AW627/AW628*AW3/AY3,"n/a")</f>
        <v>3.9732795109027661</v>
      </c>
      <c r="AX641" s="439">
        <f>IFERROR(-AX627/AX628*AX3/AY3,"n/a")</f>
        <v>4.0000000000000009</v>
      </c>
      <c r="AY641" s="440">
        <f>AVERAGE(AU641,AV641,AW641,AX641)</f>
        <v>5.2960975280194997</v>
      </c>
      <c r="AZ641" s="439">
        <f>IFERROR(-AZ627/AZ628*AZ3/BD3,"n/a")</f>
        <v>4.545454545454545</v>
      </c>
      <c r="BA641" s="439">
        <f>IFERROR(-BA627/BA628*BA3/BD3,"n/a")</f>
        <v>4.545454545454545</v>
      </c>
      <c r="BB641" s="439">
        <f>IFERROR(-BB627/BB628*BB3/BD3,"n/a")</f>
        <v>4.545454545454545</v>
      </c>
      <c r="BC641" s="439">
        <f>IFERROR(-BC627/BC628*BC3/BD3,"n/a")</f>
        <v>4.545454545454545</v>
      </c>
      <c r="BD641" s="440">
        <f>AVERAGE(AZ641,BA641,BB641,BC641)</f>
        <v>4.545454545454545</v>
      </c>
      <c r="BE641" s="440">
        <f>IFERROR(-BE627/BE628,"n/a")</f>
        <v>4.545454545454545</v>
      </c>
      <c r="BF641" s="440">
        <f>IFERROR(-BF627/BF628,"n/a")</f>
        <v>4.545454545454545</v>
      </c>
      <c r="BG641" s="440">
        <f>IFERROR(-BG627/BG628,"n/a")</f>
        <v>4.545454545454545</v>
      </c>
      <c r="BH641" s="824"/>
    </row>
    <row r="642" spans="1:60" s="57" customFormat="1" x14ac:dyDescent="0.25">
      <c r="A642" s="63" t="s">
        <v>560</v>
      </c>
      <c r="B642" s="423"/>
      <c r="C642" s="440"/>
      <c r="D642" s="408">
        <f>IFERROR(-D633/D634,"n/a")</f>
        <v>0.48616415388095652</v>
      </c>
      <c r="E642" s="408">
        <f>IFERROR(-E633/E634,"n/a")</f>
        <v>0.45482062442201765</v>
      </c>
      <c r="F642" s="408">
        <f>IFERROR(-F633/F634,"n/a")</f>
        <v>1.1871461909654271</v>
      </c>
      <c r="G642" s="407">
        <f>IFERROR(-G633/G634*G3/K3,"n/a")</f>
        <v>1.4062138789166856</v>
      </c>
      <c r="H642" s="407">
        <f>IFERROR(-H633/H634*H3/K3,"n/a")</f>
        <v>1.4016462465550008</v>
      </c>
      <c r="I642" s="407">
        <f>IFERROR(-I633/I634*I3/K3,"n/a")</f>
        <v>1.3446443860185386</v>
      </c>
      <c r="J642" s="407">
        <f>IFERROR(-J633/J634*J3/K3,"n/a")</f>
        <v>1.4454424416474732</v>
      </c>
      <c r="K642" s="408">
        <f>IFERROR(-K633/K634,"n/a")</f>
        <v>1.3104281846673469</v>
      </c>
      <c r="L642" s="407">
        <f>IFERROR(-L633/L634*L3/P3,"n/a")</f>
        <v>1.5179683595700761</v>
      </c>
      <c r="M642" s="407">
        <f>IFERROR(-M633/M634*M3/P3,"n/a")</f>
        <v>1.5016386899635548</v>
      </c>
      <c r="N642" s="407">
        <f>IFERROR(-N633/N634*N3/P3,"n/a")</f>
        <v>1.4796239004821181</v>
      </c>
      <c r="O642" s="407">
        <f>IFERROR(-O633/O634*O3/P3,"n/a")</f>
        <v>1.5578938914901217</v>
      </c>
      <c r="P642" s="408">
        <f>IFERROR(-P633/P634,"n/a")</f>
        <v>1.3921598961789301</v>
      </c>
      <c r="Q642" s="407">
        <f>IFERROR(-Q633/Q634*Q3/U3,"n/a")</f>
        <v>1.567373562642568</v>
      </c>
      <c r="R642" s="407">
        <f>IFERROR(-R633/R634*R3/U3,"n/a")</f>
        <v>1.6798504068977795</v>
      </c>
      <c r="S642" s="407">
        <f>IFERROR(-S633/S634*S3/U3,"n/a")</f>
        <v>1.7422277460520801</v>
      </c>
      <c r="T642" s="407">
        <f>IFERROR(-T633/T634*T3/U3,"n/a")</f>
        <v>1.6930317707185125</v>
      </c>
      <c r="U642" s="408">
        <f>IFERROR(-U633/U634,"n/a")</f>
        <v>1.4058429241365695</v>
      </c>
      <c r="V642" s="407">
        <f>IFERROR(-V633/V634*V3/Z3,"n/a")</f>
        <v>1.6634895212939076</v>
      </c>
      <c r="W642" s="407">
        <f>IFERROR(-W633/W634*W3/Z3,"n/a")</f>
        <v>1.7718708694926364</v>
      </c>
      <c r="X642" s="407">
        <f>IFERROR(-X633/X634*X3/Z3,"n/a")</f>
        <v>1.8380937292916204</v>
      </c>
      <c r="Y642" s="407">
        <f>IFERROR(-Y633/Y634*Y3/Z3,"n/a")</f>
        <v>1.9201127417959127</v>
      </c>
      <c r="Z642" s="408">
        <f>IFERROR(-Z633/Z634,"n/a")</f>
        <v>1.4830794358442307</v>
      </c>
      <c r="AA642" s="407">
        <f>IFERROR(-AA633/AA634*AA3/AE3,"n/a")</f>
        <v>2.0483024373225924</v>
      </c>
      <c r="AB642" s="407">
        <f>IFERROR(-AB633/AB634*AB3/AE3,"n/a")</f>
        <v>1.9177342015368586</v>
      </c>
      <c r="AC642" s="407">
        <f>IFERROR(-AC633/AC634*AC3/AE3,"n/a")</f>
        <v>2.0320613548907822</v>
      </c>
      <c r="AD642" s="407">
        <f>IFERROR(-AD633/AD634*AD3/AE3,"n/a")</f>
        <v>2.0389073690362793</v>
      </c>
      <c r="AE642" s="408">
        <f>IFERROR(-AE633/AE634,"n/a")</f>
        <v>1.7577460575852837</v>
      </c>
      <c r="AF642" s="407">
        <f>IFERROR(-AF633/AF634*AF3/AJ3,"n/a")</f>
        <v>2.0569668858096097</v>
      </c>
      <c r="AG642" s="407">
        <f>IFERROR(-AG633/AG634*AG3/AJ3,"n/a")</f>
        <v>2.1730320132175831</v>
      </c>
      <c r="AH642" s="407">
        <f>IFERROR(-AH633/AH634*AH3/AJ3,"n/a")</f>
        <v>2.2422871254763432</v>
      </c>
      <c r="AI642" s="407">
        <f>IFERROR(-AI633/AI634*AI3/AJ3,"n/a")</f>
        <v>2.2480530817144335</v>
      </c>
      <c r="AJ642" s="408">
        <f>IFERROR(-AJ633/AJ634,"n/a")</f>
        <v>1.9386514465292541</v>
      </c>
      <c r="AK642" s="407">
        <f>IFERROR(-AK633/AK634*AK3/AO3,"n/a")</f>
        <v>2.3340662141225468</v>
      </c>
      <c r="AL642" s="407">
        <f>IFERROR(-AL633/AL634*AL3/AO3,"n/a")</f>
        <v>2.3333724012848607</v>
      </c>
      <c r="AM642" s="407">
        <f>IFERROR(-AM633/AM634*AM3/AO3,"n/a")</f>
        <v>2.4261336786736747</v>
      </c>
      <c r="AN642" s="407">
        <f>IFERROR(-AN633/AN634*AN3/AO3,"n/a")</f>
        <v>2.2702492600237343</v>
      </c>
      <c r="AO642" s="408">
        <f>IFERROR(-AO633/AO634,"n/a")</f>
        <v>2.1822483707305156</v>
      </c>
      <c r="AP642" s="407">
        <f>IFERROR(-AP633/AP634*AP3/AT3,"n/a")</f>
        <v>2.4533713321026624</v>
      </c>
      <c r="AQ642" s="407">
        <f>IFERROR(-AQ633/AQ634*AQ3/AT3,"n/a")</f>
        <v>2.4095978197250352</v>
      </c>
      <c r="AR642" s="407">
        <f>IFERROR(-AR633/AR634*AR3/AT3,"n/a")</f>
        <v>2.3129987580889733</v>
      </c>
      <c r="AS642" s="407">
        <f>IFERROR(-AS633/AS634*AS3/AT3,"n/a")</f>
        <v>2.1126201417453498</v>
      </c>
      <c r="AT642" s="408">
        <f>IFERROR(-AT633/AT634,"n/a")</f>
        <v>2.2674901951639841</v>
      </c>
      <c r="AU642" s="407">
        <f>IFERROR(-AU633/AU634*AU3/AY3,"n/a")</f>
        <v>2.3018039760221631</v>
      </c>
      <c r="AV642" s="407">
        <f>IFERROR(-AV633/AV634*AV3/AY3,"n/a")</f>
        <v>2.3133648496171619</v>
      </c>
      <c r="AW642" s="597">
        <f>IFERROR(-AW633/AW634*AW3/AY3,"n/a")</f>
        <v>2.321589710176696</v>
      </c>
      <c r="AX642" s="439">
        <f>IFERROR(-AX633/AX634*AX3/AY3,"n/a")</f>
        <v>2.1052631578947367</v>
      </c>
      <c r="AY642" s="440">
        <f>AVERAGE(AU642,AV642,AW642,AX642)</f>
        <v>2.2605054234276891</v>
      </c>
      <c r="AZ642" s="439">
        <f>IFERROR(-AZ633/AZ634*AZ3/BD3,"n/a")</f>
        <v>2.3255813953488378</v>
      </c>
      <c r="BA642" s="439">
        <f>IFERROR(-BA633/BA634*BA3/BD3,"n/a")</f>
        <v>2.3809523809523814</v>
      </c>
      <c r="BB642" s="439">
        <f>IFERROR(-BB633/BB634*BB3/BD3,"n/a")</f>
        <v>2.3809523809523805</v>
      </c>
      <c r="BC642" s="439">
        <f>IFERROR(-BC633/BC634*BC3/BD3,"n/a")</f>
        <v>2.3809523809523809</v>
      </c>
      <c r="BD642" s="440">
        <f>AVERAGE(AZ642,BA642,BB642,BC642)</f>
        <v>2.367109634551495</v>
      </c>
      <c r="BE642" s="440">
        <f>IFERROR(-BE633/BE634,"n/a")</f>
        <v>2.3809523809523809</v>
      </c>
      <c r="BF642" s="440">
        <f>IFERROR(-BF633/BF634,"n/a")</f>
        <v>2.3809523809523809</v>
      </c>
      <c r="BG642" s="440">
        <f>IFERROR(-BG633/BG634,"n/a")</f>
        <v>2.3809523809523809</v>
      </c>
      <c r="BH642" s="824"/>
    </row>
    <row r="643" spans="1:60" s="57" customFormat="1" x14ac:dyDescent="0.25">
      <c r="A643" s="178"/>
      <c r="B643" s="289"/>
      <c r="C643" s="854"/>
      <c r="D643" s="854"/>
      <c r="E643" s="854"/>
      <c r="F643" s="854"/>
      <c r="G643" s="855"/>
      <c r="H643" s="855"/>
      <c r="I643" s="855"/>
      <c r="J643" s="855"/>
      <c r="K643" s="854"/>
      <c r="L643" s="855"/>
      <c r="M643" s="855"/>
      <c r="N643" s="855"/>
      <c r="O643" s="855"/>
      <c r="P643" s="854"/>
      <c r="Q643" s="855"/>
      <c r="R643" s="855"/>
      <c r="S643" s="855"/>
      <c r="T643" s="855"/>
      <c r="U643" s="854"/>
      <c r="V643" s="855"/>
      <c r="W643" s="855"/>
      <c r="X643" s="855"/>
      <c r="Y643" s="855"/>
      <c r="Z643" s="854"/>
      <c r="AA643" s="855"/>
      <c r="AB643" s="855"/>
      <c r="AC643" s="855"/>
      <c r="AD643" s="855"/>
      <c r="AE643" s="854"/>
      <c r="AF643" s="855"/>
      <c r="AG643" s="855"/>
      <c r="AH643" s="855"/>
      <c r="AI643" s="855"/>
      <c r="AJ643" s="854"/>
      <c r="AK643" s="855"/>
      <c r="AL643" s="855"/>
      <c r="AM643" s="855"/>
      <c r="AN643" s="855"/>
      <c r="AO643" s="854"/>
      <c r="AP643" s="855"/>
      <c r="AQ643" s="855"/>
      <c r="AR643" s="855"/>
      <c r="AS643" s="855"/>
      <c r="AT643" s="854"/>
      <c r="AU643" s="855"/>
      <c r="AV643" s="855"/>
      <c r="AW643" s="863"/>
      <c r="AX643" s="855"/>
      <c r="AY643" s="854"/>
      <c r="AZ643" s="855"/>
      <c r="BA643" s="855"/>
      <c r="BB643" s="855"/>
      <c r="BC643" s="855"/>
      <c r="BD643" s="854"/>
      <c r="BE643" s="854"/>
      <c r="BF643" s="854"/>
      <c r="BG643" s="854"/>
      <c r="BH643" s="824"/>
    </row>
    <row r="644" spans="1:60" s="57" customFormat="1" x14ac:dyDescent="0.25">
      <c r="A644" s="63" t="s">
        <v>561</v>
      </c>
      <c r="B644" s="423"/>
      <c r="C644" s="926">
        <f t="shared" ref="C644:AV644" si="650">C392+C558+C559</f>
        <v>257.53399999999999</v>
      </c>
      <c r="D644" s="926">
        <f t="shared" si="650"/>
        <v>338.69499999999999</v>
      </c>
      <c r="E644" s="926">
        <f t="shared" si="650"/>
        <v>839.61900000000003</v>
      </c>
      <c r="F644" s="926">
        <f t="shared" si="650"/>
        <v>1702.0830000000001</v>
      </c>
      <c r="G644" s="927">
        <f t="shared" si="650"/>
        <v>516.02800000000002</v>
      </c>
      <c r="H644" s="927">
        <f t="shared" si="650"/>
        <v>539.9849999999999</v>
      </c>
      <c r="I644" s="927">
        <f t="shared" si="650"/>
        <v>582.39200000000005</v>
      </c>
      <c r="J644" s="927">
        <f t="shared" si="650"/>
        <v>603.2750000000002</v>
      </c>
      <c r="K644" s="926">
        <f t="shared" si="650"/>
        <v>2241.6799999999998</v>
      </c>
      <c r="L644" s="927">
        <f t="shared" si="650"/>
        <v>629.23799999999994</v>
      </c>
      <c r="M644" s="927">
        <f t="shared" si="650"/>
        <v>668.9369999999999</v>
      </c>
      <c r="N644" s="927">
        <f t="shared" si="650"/>
        <v>718.78</v>
      </c>
      <c r="O644" s="927">
        <f t="shared" si="650"/>
        <v>764.84300000000007</v>
      </c>
      <c r="P644" s="926">
        <f t="shared" si="650"/>
        <v>2781.7979999999998</v>
      </c>
      <c r="Q644" s="927">
        <f t="shared" si="650"/>
        <v>785.87</v>
      </c>
      <c r="R644" s="927">
        <f t="shared" si="650"/>
        <v>858.99399999999991</v>
      </c>
      <c r="S644" s="927">
        <f t="shared" si="650"/>
        <v>906.03900000000033</v>
      </c>
      <c r="T644" s="927">
        <f t="shared" si="650"/>
        <v>996.14199999999994</v>
      </c>
      <c r="U644" s="926">
        <f t="shared" si="650"/>
        <v>3547.0450000000001</v>
      </c>
      <c r="V644" s="927">
        <f t="shared" si="650"/>
        <v>1093.76</v>
      </c>
      <c r="W644" s="927">
        <f t="shared" si="650"/>
        <v>1209.5130000000001</v>
      </c>
      <c r="X644" s="927">
        <f t="shared" si="650"/>
        <v>1257.8019999999999</v>
      </c>
      <c r="Y644" s="927">
        <f t="shared" si="650"/>
        <v>1363.9029999999998</v>
      </c>
      <c r="Z644" s="926">
        <f t="shared" si="650"/>
        <v>4924.9780000000001</v>
      </c>
      <c r="AA644" s="927">
        <f t="shared" si="650"/>
        <v>1339.33</v>
      </c>
      <c r="AB644" s="927">
        <f t="shared" si="650"/>
        <v>1585.8559999999998</v>
      </c>
      <c r="AC644" s="927">
        <f t="shared" si="650"/>
        <v>1659.9739999999999</v>
      </c>
      <c r="AD644" s="927">
        <f t="shared" si="650"/>
        <v>1745.2250000000004</v>
      </c>
      <c r="AE644" s="926">
        <f t="shared" si="650"/>
        <v>6330.3850000000002</v>
      </c>
      <c r="AF644" s="927">
        <f t="shared" si="650"/>
        <v>1779.019</v>
      </c>
      <c r="AG644" s="927">
        <f t="shared" si="650"/>
        <v>1848.7070000000001</v>
      </c>
      <c r="AH644" s="927">
        <f t="shared" si="650"/>
        <v>1942.8869999999999</v>
      </c>
      <c r="AI644" s="927">
        <f t="shared" si="650"/>
        <v>2085.8440000000001</v>
      </c>
      <c r="AJ644" s="926">
        <f t="shared" si="650"/>
        <v>7656.4570000000003</v>
      </c>
      <c r="AK644" s="927">
        <f t="shared" si="650"/>
        <v>2148.2470000000003</v>
      </c>
      <c r="AL644" s="927">
        <f t="shared" si="650"/>
        <v>2257.4109999999996</v>
      </c>
      <c r="AM644" s="927">
        <f t="shared" si="650"/>
        <v>2306.6810000000009</v>
      </c>
      <c r="AN644" s="927">
        <f t="shared" si="650"/>
        <v>2607.4869999999992</v>
      </c>
      <c r="AO644" s="926">
        <f t="shared" si="650"/>
        <v>9319.8259999999991</v>
      </c>
      <c r="AP644" s="927">
        <f t="shared" si="650"/>
        <v>2511.902</v>
      </c>
      <c r="AQ644" s="927">
        <f t="shared" si="650"/>
        <v>2633.8199999999997</v>
      </c>
      <c r="AR644" s="927">
        <f t="shared" si="650"/>
        <v>2762.3320000000003</v>
      </c>
      <c r="AS644" s="927">
        <f t="shared" si="650"/>
        <v>3014.5680000000002</v>
      </c>
      <c r="AT644" s="926">
        <f t="shared" si="650"/>
        <v>10922.621999999999</v>
      </c>
      <c r="AU644" s="927">
        <f t="shared" si="650"/>
        <v>2754.9369999999999</v>
      </c>
      <c r="AV644" s="927">
        <f t="shared" si="650"/>
        <v>2845.2370000000001</v>
      </c>
      <c r="AW644" s="928">
        <f>AW392+AW558+AW559</f>
        <v>3033.3039999999996</v>
      </c>
      <c r="AX644" s="849">
        <f t="shared" ref="AX644:BG644" si="651">AX392+AX558</f>
        <v>3545.8312013698628</v>
      </c>
      <c r="AY644" s="848">
        <f t="shared" si="651"/>
        <v>12179.309201369861</v>
      </c>
      <c r="AZ644" s="849">
        <f t="shared" si="651"/>
        <v>3195.7896899707262</v>
      </c>
      <c r="BA644" s="849">
        <f t="shared" si="651"/>
        <v>3250.7962859519475</v>
      </c>
      <c r="BB644" s="849">
        <f t="shared" si="651"/>
        <v>3374.9050559038469</v>
      </c>
      <c r="BC644" s="849">
        <f t="shared" si="651"/>
        <v>3450.2749541670451</v>
      </c>
      <c r="BD644" s="848">
        <f t="shared" si="651"/>
        <v>13271.765985993565</v>
      </c>
      <c r="BE644" s="848">
        <f t="shared" si="651"/>
        <v>13956.263356781901</v>
      </c>
      <c r="BF644" s="848">
        <f t="shared" si="651"/>
        <v>14962.449119929102</v>
      </c>
      <c r="BG644" s="848">
        <f t="shared" si="651"/>
        <v>15550.477260495449</v>
      </c>
      <c r="BH644" s="824"/>
    </row>
    <row r="645" spans="1:60" s="57" customFormat="1" x14ac:dyDescent="0.25">
      <c r="A645" s="63" t="s">
        <v>562</v>
      </c>
      <c r="B645" s="423"/>
      <c r="C645" s="926">
        <f t="shared" ref="C645:AH645" si="652">-C433</f>
        <v>238.976</v>
      </c>
      <c r="D645" s="926">
        <f t="shared" si="652"/>
        <v>157.738</v>
      </c>
      <c r="E645" s="926">
        <f t="shared" si="652"/>
        <v>134.83600000000001</v>
      </c>
      <c r="F645" s="926">
        <f t="shared" si="652"/>
        <v>88.552999999999997</v>
      </c>
      <c r="G645" s="927">
        <f t="shared" si="652"/>
        <v>33.311</v>
      </c>
      <c r="H645" s="927">
        <f t="shared" si="652"/>
        <v>22.110999999999997</v>
      </c>
      <c r="I645" s="927">
        <f t="shared" si="652"/>
        <v>26.298999999999996</v>
      </c>
      <c r="J645" s="927">
        <f t="shared" si="652"/>
        <v>38.349000000000011</v>
      </c>
      <c r="K645" s="926">
        <f t="shared" si="652"/>
        <v>120.07000000000001</v>
      </c>
      <c r="L645" s="927">
        <f t="shared" si="652"/>
        <v>28.247999999999998</v>
      </c>
      <c r="M645" s="927">
        <f t="shared" si="652"/>
        <v>40.850000000000009</v>
      </c>
      <c r="N645" s="927">
        <f t="shared" si="652"/>
        <v>36.561999999999991</v>
      </c>
      <c r="O645" s="927">
        <f t="shared" si="652"/>
        <v>38.856000000000009</v>
      </c>
      <c r="P645" s="926">
        <f t="shared" si="652"/>
        <v>144.51600000000002</v>
      </c>
      <c r="Q645" s="927">
        <f t="shared" si="652"/>
        <v>35.942</v>
      </c>
      <c r="R645" s="927">
        <f t="shared" si="652"/>
        <v>47.323999999999998</v>
      </c>
      <c r="S645" s="927">
        <f t="shared" si="652"/>
        <v>52.287000000000006</v>
      </c>
      <c r="T645" s="927">
        <f t="shared" si="652"/>
        <v>33.652999999999999</v>
      </c>
      <c r="U645" s="926">
        <f t="shared" si="652"/>
        <v>169.20600000000002</v>
      </c>
      <c r="V645" s="927">
        <f t="shared" si="652"/>
        <v>31.632000000000001</v>
      </c>
      <c r="W645" s="927">
        <f t="shared" si="652"/>
        <v>28.738</v>
      </c>
      <c r="X645" s="927">
        <f t="shared" si="652"/>
        <v>44.614999999999995</v>
      </c>
      <c r="Y645" s="927">
        <f t="shared" si="652"/>
        <v>79.845000000000013</v>
      </c>
      <c r="Z645" s="926">
        <f t="shared" si="652"/>
        <v>184.83</v>
      </c>
      <c r="AA645" s="927">
        <f t="shared" si="652"/>
        <v>77.89500000000001</v>
      </c>
      <c r="AB645" s="927">
        <f t="shared" si="652"/>
        <v>72.85499999999999</v>
      </c>
      <c r="AC645" s="927">
        <f t="shared" si="652"/>
        <v>44.180000000000007</v>
      </c>
      <c r="AD645" s="927">
        <f t="shared" si="652"/>
        <v>32.091999999999977</v>
      </c>
      <c r="AE645" s="926">
        <f t="shared" si="652"/>
        <v>227.02199999999999</v>
      </c>
      <c r="AF645" s="927">
        <f t="shared" si="652"/>
        <v>47.966000000000001</v>
      </c>
      <c r="AG645" s="927">
        <f t="shared" si="652"/>
        <v>39.874999999999993</v>
      </c>
      <c r="AH645" s="927">
        <f t="shared" si="652"/>
        <v>47.064</v>
      </c>
      <c r="AI645" s="927">
        <f t="shared" ref="AI645:AY645" si="653">-AI433</f>
        <v>77.62700000000001</v>
      </c>
      <c r="AJ645" s="926">
        <f t="shared" si="653"/>
        <v>212.53199999999998</v>
      </c>
      <c r="AK645" s="927">
        <f t="shared" si="653"/>
        <v>69.551000000000002</v>
      </c>
      <c r="AL645" s="927">
        <f t="shared" si="653"/>
        <v>47.382000000000005</v>
      </c>
      <c r="AM645" s="927">
        <f t="shared" si="653"/>
        <v>49.966999999999999</v>
      </c>
      <c r="AN645" s="927">
        <f t="shared" si="653"/>
        <v>86.134999999999991</v>
      </c>
      <c r="AO645" s="926">
        <f t="shared" si="653"/>
        <v>253.035</v>
      </c>
      <c r="AP645" s="927">
        <f t="shared" si="653"/>
        <v>98.015000000000001</v>
      </c>
      <c r="AQ645" s="927">
        <f t="shared" si="653"/>
        <v>141.74099999999999</v>
      </c>
      <c r="AR645" s="927">
        <f>-AR433</f>
        <v>109.81100000000001</v>
      </c>
      <c r="AS645" s="927">
        <f>-AS433</f>
        <v>148.35599999999999</v>
      </c>
      <c r="AT645" s="926">
        <f>-AT433</f>
        <v>497.923</v>
      </c>
      <c r="AU645" s="927">
        <f t="shared" ref="AU645" si="654">-AU433</f>
        <v>81.001000000000005</v>
      </c>
      <c r="AV645" s="927">
        <f>-AV433</f>
        <v>110.27799999999999</v>
      </c>
      <c r="AW645" s="928">
        <f>-AW433</f>
        <v>167.327</v>
      </c>
      <c r="AX645" s="849">
        <f t="shared" si="653"/>
        <v>100</v>
      </c>
      <c r="AY645" s="848">
        <f t="shared" si="653"/>
        <v>458.60599999999999</v>
      </c>
      <c r="AZ645" s="849">
        <f t="shared" ref="AZ645:BG645" si="655">-AZ433</f>
        <v>100</v>
      </c>
      <c r="BA645" s="849">
        <f t="shared" si="655"/>
        <v>100</v>
      </c>
      <c r="BB645" s="849">
        <f t="shared" si="655"/>
        <v>100</v>
      </c>
      <c r="BC645" s="849">
        <f t="shared" si="655"/>
        <v>100</v>
      </c>
      <c r="BD645" s="848">
        <f t="shared" si="655"/>
        <v>400</v>
      </c>
      <c r="BE645" s="848">
        <f t="shared" si="655"/>
        <v>400</v>
      </c>
      <c r="BF645" s="848">
        <f t="shared" si="655"/>
        <v>400</v>
      </c>
      <c r="BG645" s="848">
        <f t="shared" si="655"/>
        <v>400</v>
      </c>
      <c r="BH645" s="824"/>
    </row>
    <row r="646" spans="1:60" s="57" customFormat="1" x14ac:dyDescent="0.25">
      <c r="A646" s="434" t="s">
        <v>563</v>
      </c>
      <c r="B646" s="837"/>
      <c r="C646" s="165"/>
      <c r="D646" s="165"/>
      <c r="E646" s="165"/>
      <c r="F646" s="165"/>
      <c r="G646" s="474"/>
      <c r="H646" s="474"/>
      <c r="I646" s="474"/>
      <c r="J646" s="474"/>
      <c r="K646" s="165"/>
      <c r="L646" s="474"/>
      <c r="M646" s="474"/>
      <c r="N646" s="474"/>
      <c r="O646" s="474"/>
      <c r="P646" s="165"/>
      <c r="Q646" s="474"/>
      <c r="R646" s="474"/>
      <c r="S646" s="474"/>
      <c r="T646" s="474"/>
      <c r="U646" s="165"/>
      <c r="V646" s="474"/>
      <c r="W646" s="474"/>
      <c r="X646" s="474"/>
      <c r="Y646" s="474"/>
      <c r="Z646" s="165"/>
      <c r="AA646" s="474"/>
      <c r="AB646" s="474"/>
      <c r="AC646" s="474"/>
      <c r="AD646" s="474"/>
      <c r="AE646" s="165"/>
      <c r="AF646" s="474"/>
      <c r="AG646" s="474"/>
      <c r="AH646" s="474"/>
      <c r="AI646" s="474"/>
      <c r="AJ646" s="165"/>
      <c r="AK646" s="474"/>
      <c r="AL646" s="474"/>
      <c r="AM646" s="474"/>
      <c r="AN646" s="474"/>
      <c r="AO646" s="165"/>
      <c r="AP646" s="474"/>
      <c r="AQ646" s="474"/>
      <c r="AR646" s="474"/>
      <c r="AS646" s="474"/>
      <c r="AT646" s="165"/>
      <c r="AU646" s="474"/>
      <c r="AV646" s="474"/>
      <c r="AW646" s="598"/>
      <c r="AX646" s="437">
        <v>0</v>
      </c>
      <c r="AY646" s="165">
        <f>AVERAGE(AU646,AV646,AW646,AX646)</f>
        <v>0</v>
      </c>
      <c r="AZ646" s="437">
        <v>0</v>
      </c>
      <c r="BA646" s="437">
        <v>0</v>
      </c>
      <c r="BB646" s="437">
        <v>0</v>
      </c>
      <c r="BC646" s="437">
        <v>0</v>
      </c>
      <c r="BD646" s="165">
        <f>AVERAGE(AZ646,BA646,BB646,BC646)</f>
        <v>0</v>
      </c>
      <c r="BE646" s="438">
        <v>0</v>
      </c>
      <c r="BF646" s="438">
        <v>0</v>
      </c>
      <c r="BG646" s="438">
        <v>0</v>
      </c>
      <c r="BH646" s="824"/>
    </row>
    <row r="647" spans="1:60" s="57" customFormat="1" x14ac:dyDescent="0.25">
      <c r="A647" s="178"/>
      <c r="B647" s="289"/>
      <c r="C647" s="854"/>
      <c r="D647" s="854"/>
      <c r="E647" s="854"/>
      <c r="F647" s="854"/>
      <c r="G647" s="855"/>
      <c r="H647" s="855"/>
      <c r="I647" s="855"/>
      <c r="J647" s="855"/>
      <c r="K647" s="854"/>
      <c r="L647" s="855"/>
      <c r="M647" s="855"/>
      <c r="N647" s="855"/>
      <c r="O647" s="855"/>
      <c r="P647" s="854"/>
      <c r="Q647" s="855"/>
      <c r="R647" s="855"/>
      <c r="S647" s="855"/>
      <c r="T647" s="855"/>
      <c r="U647" s="854"/>
      <c r="V647" s="855"/>
      <c r="W647" s="855"/>
      <c r="X647" s="855"/>
      <c r="Y647" s="855"/>
      <c r="Z647" s="854"/>
      <c r="AA647" s="855"/>
      <c r="AB647" s="855"/>
      <c r="AC647" s="855"/>
      <c r="AD647" s="855"/>
      <c r="AE647" s="854"/>
      <c r="AF647" s="855"/>
      <c r="AG647" s="855"/>
      <c r="AH647" s="855"/>
      <c r="AI647" s="855"/>
      <c r="AJ647" s="854"/>
      <c r="AK647" s="855"/>
      <c r="AL647" s="855"/>
      <c r="AM647" s="855"/>
      <c r="AN647" s="855"/>
      <c r="AO647" s="854"/>
      <c r="AP647" s="855"/>
      <c r="AQ647" s="855"/>
      <c r="AR647" s="855"/>
      <c r="AS647" s="855"/>
      <c r="AT647" s="854"/>
      <c r="AU647" s="855"/>
      <c r="AV647" s="855"/>
      <c r="AW647" s="863"/>
      <c r="AX647" s="855"/>
      <c r="AY647" s="854"/>
      <c r="AZ647" s="855"/>
      <c r="BA647" s="855"/>
      <c r="BB647" s="855"/>
      <c r="BC647" s="855"/>
      <c r="BD647" s="854"/>
      <c r="BE647" s="854"/>
      <c r="BF647" s="854"/>
      <c r="BG647" s="854"/>
      <c r="BH647" s="824"/>
    </row>
    <row r="648" spans="1:60" s="753" customFormat="1" x14ac:dyDescent="0.25">
      <c r="A648" s="829" t="s">
        <v>728</v>
      </c>
      <c r="B648" s="829"/>
      <c r="C648" s="861"/>
      <c r="D648" s="861"/>
      <c r="E648" s="861"/>
      <c r="F648" s="861"/>
      <c r="G648" s="861"/>
      <c r="H648" s="861"/>
      <c r="I648" s="861"/>
      <c r="J648" s="861"/>
      <c r="K648" s="861"/>
      <c r="L648" s="861"/>
      <c r="M648" s="861"/>
      <c r="N648" s="861"/>
      <c r="O648" s="861"/>
      <c r="P648" s="861"/>
      <c r="Q648" s="861"/>
      <c r="R648" s="861"/>
      <c r="S648" s="861"/>
      <c r="T648" s="861"/>
      <c r="U648" s="861"/>
      <c r="V648" s="861"/>
      <c r="W648" s="861"/>
      <c r="X648" s="861"/>
      <c r="Y648" s="861"/>
      <c r="Z648" s="861"/>
      <c r="AA648" s="861"/>
      <c r="AB648" s="861"/>
      <c r="AC648" s="861"/>
      <c r="AD648" s="861"/>
      <c r="AE648" s="861"/>
      <c r="AF648" s="861"/>
      <c r="AG648" s="861"/>
      <c r="AH648" s="861"/>
      <c r="AI648" s="861"/>
      <c r="AJ648" s="861"/>
      <c r="AK648" s="861"/>
      <c r="AL648" s="861"/>
      <c r="AM648" s="861"/>
      <c r="AN648" s="861"/>
      <c r="AO648" s="861"/>
      <c r="AP648" s="861"/>
      <c r="AQ648" s="861"/>
      <c r="AR648" s="861"/>
      <c r="AS648" s="861"/>
      <c r="AT648" s="861"/>
      <c r="AU648" s="861"/>
      <c r="AV648" s="861"/>
      <c r="AW648" s="862"/>
      <c r="AX648" s="890"/>
      <c r="AY648" s="890"/>
      <c r="AZ648" s="890"/>
      <c r="BA648" s="890"/>
      <c r="BB648" s="890"/>
      <c r="BC648" s="890"/>
      <c r="BD648" s="890"/>
      <c r="BE648" s="890"/>
      <c r="BF648" s="890"/>
      <c r="BG648" s="890"/>
      <c r="BH648" s="369"/>
    </row>
    <row r="649" spans="1:60" customFormat="1" x14ac:dyDescent="0.25">
      <c r="A649" s="63" t="s">
        <v>196</v>
      </c>
      <c r="B649" s="423"/>
      <c r="C649" s="874"/>
      <c r="D649" s="874"/>
      <c r="E649" s="874"/>
      <c r="F649" s="874"/>
      <c r="G649" s="879"/>
      <c r="H649" s="879"/>
      <c r="I649" s="879"/>
      <c r="J649" s="879"/>
      <c r="K649" s="874"/>
      <c r="L649" s="879"/>
      <c r="M649" s="879"/>
      <c r="N649" s="879"/>
      <c r="O649" s="879"/>
      <c r="P649" s="874"/>
      <c r="Q649" s="879"/>
      <c r="R649" s="879"/>
      <c r="S649" s="879"/>
      <c r="T649" s="879"/>
      <c r="U649" s="874"/>
      <c r="V649" s="879"/>
      <c r="W649" s="879"/>
      <c r="X649" s="879"/>
      <c r="Y649" s="879"/>
      <c r="Z649" s="874"/>
      <c r="AA649" s="879"/>
      <c r="AB649" s="879"/>
      <c r="AC649" s="879"/>
      <c r="AD649" s="879"/>
      <c r="AE649" s="874"/>
      <c r="AF649" s="879"/>
      <c r="AG649" s="879"/>
      <c r="AH649" s="879"/>
      <c r="AI649" s="879"/>
      <c r="AJ649" s="874"/>
      <c r="AK649" s="879"/>
      <c r="AL649" s="879"/>
      <c r="AM649" s="879"/>
      <c r="AN649" s="879"/>
      <c r="AO649" s="874"/>
      <c r="AP649" s="879"/>
      <c r="AQ649" s="879"/>
      <c r="AR649" s="879"/>
      <c r="AS649" s="879"/>
      <c r="AT649" s="874"/>
      <c r="AU649" s="879"/>
      <c r="AV649" s="879"/>
      <c r="AW649" s="880"/>
      <c r="AX649" s="879"/>
      <c r="AY649" s="874"/>
      <c r="AZ649" s="879"/>
      <c r="BA649" s="879"/>
      <c r="BB649" s="879"/>
      <c r="BC649" s="879"/>
      <c r="BD649" s="874"/>
      <c r="BE649" s="874"/>
      <c r="BF649" s="874"/>
      <c r="BG649" s="874"/>
      <c r="BH649" s="824"/>
    </row>
    <row r="650" spans="1:60" customFormat="1" x14ac:dyDescent="0.25">
      <c r="A650" s="367" t="s">
        <v>197</v>
      </c>
      <c r="B650" s="289"/>
      <c r="C650" s="865">
        <v>134.22399999999999</v>
      </c>
      <c r="D650" s="865">
        <v>194.499</v>
      </c>
      <c r="E650" s="865">
        <v>508.053</v>
      </c>
      <c r="F650" s="865">
        <v>290.291</v>
      </c>
      <c r="G650" s="866">
        <v>418.05099999999999</v>
      </c>
      <c r="H650" s="866">
        <v>370.678</v>
      </c>
      <c r="I650" s="866">
        <v>439.05599999999998</v>
      </c>
      <c r="J650" s="866">
        <v>604.96500000000003</v>
      </c>
      <c r="K650" s="865">
        <v>604.96500000000003</v>
      </c>
      <c r="L650" s="866">
        <v>1157.45</v>
      </c>
      <c r="M650" s="866">
        <v>1214.2439999999999</v>
      </c>
      <c r="N650" s="866">
        <v>1183.2170000000001</v>
      </c>
      <c r="O650" s="866">
        <v>1113.6079999999999</v>
      </c>
      <c r="P650" s="865">
        <v>1113.6079999999999</v>
      </c>
      <c r="Q650" s="866">
        <v>2454.777</v>
      </c>
      <c r="R650" s="866">
        <v>2293.8719999999998</v>
      </c>
      <c r="S650" s="866">
        <v>2115.4369999999999</v>
      </c>
      <c r="T650" s="866">
        <v>1809.33</v>
      </c>
      <c r="U650" s="865">
        <v>1809.33</v>
      </c>
      <c r="V650" s="866">
        <v>1605.2439999999999</v>
      </c>
      <c r="W650" s="866">
        <v>1390.925</v>
      </c>
      <c r="X650" s="866">
        <v>969.15800000000002</v>
      </c>
      <c r="Y650" s="867">
        <f t="shared" ref="Y650:Y656" si="656">Z650</f>
        <v>1467.576</v>
      </c>
      <c r="Z650" s="864">
        <v>1467.576</v>
      </c>
      <c r="AA650" s="866">
        <v>1077.8240000000001</v>
      </c>
      <c r="AB650" s="866">
        <v>1918.777</v>
      </c>
      <c r="AC650" s="866">
        <v>1746.4690000000001</v>
      </c>
      <c r="AD650" s="867">
        <f t="shared" ref="AD650:AD656" si="657">AE650</f>
        <v>2822.7950000000001</v>
      </c>
      <c r="AE650" s="864">
        <v>2822.7950000000001</v>
      </c>
      <c r="AF650" s="866">
        <v>2593.6660000000002</v>
      </c>
      <c r="AG650" s="866">
        <v>3906.357</v>
      </c>
      <c r="AH650" s="866">
        <v>3067.5340000000001</v>
      </c>
      <c r="AI650" s="867">
        <f t="shared" ref="AI650:AI656" si="658">AJ650</f>
        <v>3794.4830000000002</v>
      </c>
      <c r="AJ650" s="864">
        <v>3794.4830000000002</v>
      </c>
      <c r="AK650" s="866">
        <v>3348.5569999999998</v>
      </c>
      <c r="AL650" s="866">
        <v>5004.2470000000003</v>
      </c>
      <c r="AM650" s="866">
        <v>4435.018</v>
      </c>
      <c r="AN650" s="867">
        <f t="shared" ref="AN650:AN658" si="659">AO650</f>
        <v>5018.4369999999999</v>
      </c>
      <c r="AO650" s="864">
        <v>5018.4369999999999</v>
      </c>
      <c r="AP650" s="866">
        <v>5151.884</v>
      </c>
      <c r="AQ650" s="866">
        <v>7153.2479999999996</v>
      </c>
      <c r="AR650" s="866">
        <v>8392.3909999999996</v>
      </c>
      <c r="AS650" s="867">
        <f t="shared" ref="AS650:AS658" si="660">AT650</f>
        <v>8205.5499999999993</v>
      </c>
      <c r="AT650" s="864">
        <v>8205.5499999999993</v>
      </c>
      <c r="AU650" s="866">
        <v>8403.7049999999999</v>
      </c>
      <c r="AV650" s="866">
        <v>7777.53</v>
      </c>
      <c r="AW650" s="878">
        <v>7526.6809999999996</v>
      </c>
      <c r="AX650" s="867">
        <f ca="1">AW650+AX608</f>
        <v>7918.113990309268</v>
      </c>
      <c r="AY650" s="864">
        <f t="shared" ref="AY650:AY658" ca="1" si="661">AX650</f>
        <v>7918.113990309268</v>
      </c>
      <c r="AZ650" s="867">
        <f ca="1">AY650+AZ608</f>
        <v>8845.4687268356665</v>
      </c>
      <c r="BA650" s="867">
        <f ca="1">AZ650+BA608</f>
        <v>9710.1331636530649</v>
      </c>
      <c r="BB650" s="867">
        <f ca="1">BA650+BB608</f>
        <v>11166.273671020595</v>
      </c>
      <c r="BC650" s="867">
        <f ca="1">BB650+BC608</f>
        <v>12165.368014890279</v>
      </c>
      <c r="BD650" s="864">
        <f t="shared" ref="BD650:BD658" ca="1" si="662">BC650</f>
        <v>12165.368014890279</v>
      </c>
      <c r="BE650" s="864">
        <f ca="1">BD650+BE608</f>
        <v>18860.042310787161</v>
      </c>
      <c r="BF650" s="864">
        <f ca="1">BE650+BF608</f>
        <v>28598.899497435217</v>
      </c>
      <c r="BG650" s="864">
        <f ca="1">BF650+BG608</f>
        <v>41741.376457707622</v>
      </c>
      <c r="BH650" s="821"/>
    </row>
    <row r="651" spans="1:60" customFormat="1" x14ac:dyDescent="0.25">
      <c r="A651" s="367" t="s">
        <v>198</v>
      </c>
      <c r="B651" s="289"/>
      <c r="C651" s="865">
        <v>186.018</v>
      </c>
      <c r="D651" s="865">
        <v>155.88800000000001</v>
      </c>
      <c r="E651" s="865">
        <v>289.75799999999998</v>
      </c>
      <c r="F651" s="865">
        <v>457.78699999999998</v>
      </c>
      <c r="G651" s="866">
        <v>607.82100000000003</v>
      </c>
      <c r="H651" s="866">
        <v>709.43200000000002</v>
      </c>
      <c r="I651" s="866">
        <v>695.93100000000004</v>
      </c>
      <c r="J651" s="866">
        <v>595.44000000000005</v>
      </c>
      <c r="K651" s="865">
        <v>595.44000000000005</v>
      </c>
      <c r="L651" s="866">
        <v>510.79300000000001</v>
      </c>
      <c r="M651" s="866">
        <v>500.12099999999998</v>
      </c>
      <c r="N651" s="866">
        <v>483.60199999999998</v>
      </c>
      <c r="O651" s="866">
        <v>494.88799999999998</v>
      </c>
      <c r="P651" s="865">
        <v>494.88799999999998</v>
      </c>
      <c r="Q651" s="866">
        <v>502.93099999999998</v>
      </c>
      <c r="R651" s="866">
        <v>502.88600000000002</v>
      </c>
      <c r="S651" s="866">
        <v>494.20499999999998</v>
      </c>
      <c r="T651" s="866">
        <v>501.38499999999999</v>
      </c>
      <c r="U651" s="865">
        <v>501.38499999999999</v>
      </c>
      <c r="V651" s="866">
        <v>467.22699999999998</v>
      </c>
      <c r="W651" s="866">
        <v>443.303</v>
      </c>
      <c r="X651" s="866">
        <v>374.09800000000001</v>
      </c>
      <c r="Y651" s="867">
        <f t="shared" si="656"/>
        <v>266.20600000000002</v>
      </c>
      <c r="Z651" s="864">
        <v>266.20600000000002</v>
      </c>
      <c r="AA651" s="866">
        <v>263.40499999999997</v>
      </c>
      <c r="AB651" s="866">
        <v>246.125</v>
      </c>
      <c r="AC651" s="867"/>
      <c r="AD651" s="867">
        <f t="shared" si="657"/>
        <v>0</v>
      </c>
      <c r="AE651" s="864"/>
      <c r="AF651" s="867"/>
      <c r="AG651" s="867"/>
      <c r="AH651" s="867"/>
      <c r="AI651" s="867">
        <f t="shared" si="658"/>
        <v>0</v>
      </c>
      <c r="AJ651" s="864"/>
      <c r="AK651" s="867"/>
      <c r="AL651" s="867"/>
      <c r="AM651" s="867"/>
      <c r="AN651" s="867">
        <f t="shared" si="659"/>
        <v>0</v>
      </c>
      <c r="AO651" s="864"/>
      <c r="AP651" s="867"/>
      <c r="AQ651" s="867"/>
      <c r="AR651" s="867"/>
      <c r="AS651" s="867">
        <f t="shared" si="660"/>
        <v>0</v>
      </c>
      <c r="AT651" s="864"/>
      <c r="AU651" s="867"/>
      <c r="AV651" s="867"/>
      <c r="AW651" s="868"/>
      <c r="AX651" s="867">
        <f t="shared" ref="AX651:AX657" si="663">AW651</f>
        <v>0</v>
      </c>
      <c r="AY651" s="864">
        <f t="shared" si="661"/>
        <v>0</v>
      </c>
      <c r="AZ651" s="867">
        <f t="shared" ref="AZ651:BC657" si="664">AY651</f>
        <v>0</v>
      </c>
      <c r="BA651" s="867">
        <f t="shared" si="664"/>
        <v>0</v>
      </c>
      <c r="BB651" s="867">
        <f t="shared" si="664"/>
        <v>0</v>
      </c>
      <c r="BC651" s="867">
        <f t="shared" si="664"/>
        <v>0</v>
      </c>
      <c r="BD651" s="864">
        <f t="shared" si="662"/>
        <v>0</v>
      </c>
      <c r="BE651" s="864">
        <f t="shared" ref="BE651:BG657" si="665">BD651</f>
        <v>0</v>
      </c>
      <c r="BF651" s="864">
        <f t="shared" si="665"/>
        <v>0</v>
      </c>
      <c r="BG651" s="864">
        <f t="shared" si="665"/>
        <v>0</v>
      </c>
      <c r="BH651" s="821"/>
    </row>
    <row r="652" spans="1:60" customFormat="1" x14ac:dyDescent="0.25">
      <c r="A652" s="367" t="s">
        <v>199</v>
      </c>
      <c r="B652" s="289"/>
      <c r="C652" s="865">
        <v>0</v>
      </c>
      <c r="D652" s="865">
        <v>0</v>
      </c>
      <c r="E652" s="865">
        <v>0</v>
      </c>
      <c r="F652" s="865">
        <v>0</v>
      </c>
      <c r="G652" s="866">
        <v>0</v>
      </c>
      <c r="H652" s="866">
        <v>0</v>
      </c>
      <c r="I652" s="866">
        <v>0</v>
      </c>
      <c r="J652" s="866">
        <v>0</v>
      </c>
      <c r="K652" s="865">
        <v>0</v>
      </c>
      <c r="L652" s="866">
        <v>0</v>
      </c>
      <c r="M652" s="866">
        <v>0</v>
      </c>
      <c r="N652" s="866">
        <v>0</v>
      </c>
      <c r="O652" s="866">
        <v>0</v>
      </c>
      <c r="P652" s="865">
        <v>0</v>
      </c>
      <c r="Q652" s="866">
        <v>0</v>
      </c>
      <c r="R652" s="866">
        <v>0</v>
      </c>
      <c r="S652" s="866">
        <v>0</v>
      </c>
      <c r="T652" s="866">
        <v>0</v>
      </c>
      <c r="U652" s="865">
        <v>0</v>
      </c>
      <c r="V652" s="867"/>
      <c r="W652" s="867"/>
      <c r="X652" s="867"/>
      <c r="Y652" s="867">
        <f t="shared" si="656"/>
        <v>0</v>
      </c>
      <c r="Z652" s="864"/>
      <c r="AA652" s="867"/>
      <c r="AB652" s="867"/>
      <c r="AC652" s="867"/>
      <c r="AD652" s="867">
        <f t="shared" si="657"/>
        <v>0</v>
      </c>
      <c r="AE652" s="864"/>
      <c r="AF652" s="867"/>
      <c r="AG652" s="867"/>
      <c r="AH652" s="867"/>
      <c r="AI652" s="867">
        <f t="shared" si="658"/>
        <v>0</v>
      </c>
      <c r="AJ652" s="864"/>
      <c r="AK652" s="867"/>
      <c r="AL652" s="867"/>
      <c r="AM652" s="867"/>
      <c r="AN652" s="867">
        <f t="shared" si="659"/>
        <v>0</v>
      </c>
      <c r="AO652" s="864"/>
      <c r="AP652" s="867"/>
      <c r="AQ652" s="867"/>
      <c r="AR652" s="867"/>
      <c r="AS652" s="867">
        <f t="shared" si="660"/>
        <v>0</v>
      </c>
      <c r="AT652" s="864"/>
      <c r="AU652" s="867"/>
      <c r="AV652" s="867"/>
      <c r="AW652" s="868"/>
      <c r="AX652" s="867">
        <f t="shared" si="663"/>
        <v>0</v>
      </c>
      <c r="AY652" s="864">
        <f t="shared" si="661"/>
        <v>0</v>
      </c>
      <c r="AZ652" s="867">
        <f t="shared" si="664"/>
        <v>0</v>
      </c>
      <c r="BA652" s="867">
        <f t="shared" si="664"/>
        <v>0</v>
      </c>
      <c r="BB652" s="867">
        <f t="shared" si="664"/>
        <v>0</v>
      </c>
      <c r="BC652" s="867">
        <f t="shared" si="664"/>
        <v>0</v>
      </c>
      <c r="BD652" s="864">
        <f t="shared" si="662"/>
        <v>0</v>
      </c>
      <c r="BE652" s="864">
        <f t="shared" si="665"/>
        <v>0</v>
      </c>
      <c r="BF652" s="864">
        <f t="shared" si="665"/>
        <v>0</v>
      </c>
      <c r="BG652" s="864">
        <f t="shared" si="665"/>
        <v>0</v>
      </c>
      <c r="BH652" s="821"/>
    </row>
    <row r="653" spans="1:60" customFormat="1" x14ac:dyDescent="0.25">
      <c r="A653" s="367" t="s">
        <v>200</v>
      </c>
      <c r="B653" s="289"/>
      <c r="C653" s="865">
        <v>0</v>
      </c>
      <c r="D653" s="865">
        <v>0</v>
      </c>
      <c r="E653" s="865">
        <v>0</v>
      </c>
      <c r="F653" s="865">
        <v>0</v>
      </c>
      <c r="G653" s="866">
        <v>0</v>
      </c>
      <c r="H653" s="866">
        <v>0</v>
      </c>
      <c r="I653" s="866">
        <v>0</v>
      </c>
      <c r="J653" s="866">
        <v>0</v>
      </c>
      <c r="K653" s="865">
        <v>0</v>
      </c>
      <c r="L653" s="866">
        <v>0</v>
      </c>
      <c r="M653" s="866">
        <v>0</v>
      </c>
      <c r="N653" s="866">
        <v>0</v>
      </c>
      <c r="O653" s="866">
        <v>0</v>
      </c>
      <c r="P653" s="865">
        <v>0</v>
      </c>
      <c r="Q653" s="866">
        <v>0</v>
      </c>
      <c r="R653" s="866">
        <v>0</v>
      </c>
      <c r="S653" s="866">
        <v>0</v>
      </c>
      <c r="T653" s="866">
        <v>0</v>
      </c>
      <c r="U653" s="865">
        <v>0</v>
      </c>
      <c r="V653" s="867"/>
      <c r="W653" s="867"/>
      <c r="X653" s="867"/>
      <c r="Y653" s="867">
        <f t="shared" si="656"/>
        <v>0</v>
      </c>
      <c r="Z653" s="864"/>
      <c r="AA653" s="867"/>
      <c r="AB653" s="867"/>
      <c r="AC653" s="867"/>
      <c r="AD653" s="867">
        <f t="shared" si="657"/>
        <v>0</v>
      </c>
      <c r="AE653" s="864"/>
      <c r="AF653" s="867"/>
      <c r="AG653" s="867"/>
      <c r="AH653" s="867"/>
      <c r="AI653" s="867">
        <f t="shared" si="658"/>
        <v>0</v>
      </c>
      <c r="AJ653" s="864"/>
      <c r="AK653" s="867"/>
      <c r="AL653" s="867"/>
      <c r="AM653" s="867"/>
      <c r="AN653" s="867">
        <f t="shared" si="659"/>
        <v>0</v>
      </c>
      <c r="AO653" s="864"/>
      <c r="AP653" s="867"/>
      <c r="AQ653" s="867"/>
      <c r="AR653" s="867"/>
      <c r="AS653" s="867">
        <f t="shared" si="660"/>
        <v>0</v>
      </c>
      <c r="AT653" s="864"/>
      <c r="AU653" s="867"/>
      <c r="AV653" s="867"/>
      <c r="AW653" s="868"/>
      <c r="AX653" s="867">
        <f t="shared" si="663"/>
        <v>0</v>
      </c>
      <c r="AY653" s="864">
        <f t="shared" si="661"/>
        <v>0</v>
      </c>
      <c r="AZ653" s="867">
        <f t="shared" si="664"/>
        <v>0</v>
      </c>
      <c r="BA653" s="867">
        <f t="shared" si="664"/>
        <v>0</v>
      </c>
      <c r="BB653" s="867">
        <f t="shared" si="664"/>
        <v>0</v>
      </c>
      <c r="BC653" s="867">
        <f t="shared" si="664"/>
        <v>0</v>
      </c>
      <c r="BD653" s="864">
        <f t="shared" si="662"/>
        <v>0</v>
      </c>
      <c r="BE653" s="864">
        <f t="shared" si="665"/>
        <v>0</v>
      </c>
      <c r="BF653" s="864">
        <f t="shared" si="665"/>
        <v>0</v>
      </c>
      <c r="BG653" s="864">
        <f t="shared" si="665"/>
        <v>0</v>
      </c>
      <c r="BH653" s="821"/>
    </row>
    <row r="654" spans="1:60" customFormat="1" x14ac:dyDescent="0.25">
      <c r="A654" s="367" t="s">
        <v>201</v>
      </c>
      <c r="B654" s="289"/>
      <c r="C654" s="865">
        <v>37.329000000000001</v>
      </c>
      <c r="D654" s="865">
        <v>181.006</v>
      </c>
      <c r="E654" s="865">
        <v>919.70899999999995</v>
      </c>
      <c r="F654" s="865">
        <v>1368.162</v>
      </c>
      <c r="G654" s="866">
        <v>1391.5050000000001</v>
      </c>
      <c r="H654" s="866">
        <v>1363.6089999999999</v>
      </c>
      <c r="I654" s="866">
        <v>1577.5139999999999</v>
      </c>
      <c r="J654" s="866">
        <v>1706.421</v>
      </c>
      <c r="K654" s="865">
        <v>1706.421</v>
      </c>
      <c r="L654" s="866">
        <v>1771.41</v>
      </c>
      <c r="M654" s="866">
        <v>1786.3409999999999</v>
      </c>
      <c r="N654" s="866">
        <v>2006.981</v>
      </c>
      <c r="O654" s="866">
        <v>2125.7020000000002</v>
      </c>
      <c r="P654" s="865">
        <v>2125.7020000000002</v>
      </c>
      <c r="Q654" s="866">
        <v>2370.4470000000001</v>
      </c>
      <c r="R654" s="866">
        <v>2510.9459999999999</v>
      </c>
      <c r="S654" s="866">
        <v>2695.1840000000002</v>
      </c>
      <c r="T654" s="866">
        <v>2905.998</v>
      </c>
      <c r="U654" s="865">
        <v>2905.998</v>
      </c>
      <c r="V654" s="866">
        <v>3258.6410000000001</v>
      </c>
      <c r="W654" s="866">
        <v>3349.2620000000002</v>
      </c>
      <c r="X654" s="866">
        <v>3632.3989999999999</v>
      </c>
      <c r="Y654" s="867">
        <f t="shared" si="656"/>
        <v>3726.3069999999998</v>
      </c>
      <c r="Z654" s="864">
        <v>3726.3069999999998</v>
      </c>
      <c r="AA654" s="866">
        <v>4026.6149999999998</v>
      </c>
      <c r="AB654" s="866">
        <v>4149.1109999999999</v>
      </c>
      <c r="AC654" s="866">
        <v>4223.3869999999997</v>
      </c>
      <c r="AD654" s="867">
        <f t="shared" si="657"/>
        <v>4310.9340000000002</v>
      </c>
      <c r="AE654" s="864">
        <v>4310.9340000000002</v>
      </c>
      <c r="AF654" s="866">
        <v>4626.5219999999999</v>
      </c>
      <c r="AG654" s="866">
        <v>4803.6629999999996</v>
      </c>
      <c r="AH654" s="866">
        <v>4987.9160000000002</v>
      </c>
      <c r="AI654" s="867">
        <f t="shared" si="658"/>
        <v>5151.1859999999997</v>
      </c>
      <c r="AJ654" s="864">
        <v>5151.1859999999997</v>
      </c>
      <c r="AK654" s="866">
        <v>0</v>
      </c>
      <c r="AL654" s="867"/>
      <c r="AM654" s="867"/>
      <c r="AN654" s="867">
        <f t="shared" si="659"/>
        <v>0</v>
      </c>
      <c r="AO654" s="864"/>
      <c r="AP654" s="867"/>
      <c r="AQ654" s="867"/>
      <c r="AR654" s="867"/>
      <c r="AS654" s="867">
        <f t="shared" si="660"/>
        <v>0</v>
      </c>
      <c r="AT654" s="864"/>
      <c r="AU654" s="867"/>
      <c r="AV654" s="867"/>
      <c r="AW654" s="868"/>
      <c r="AX654" s="867">
        <f t="shared" si="663"/>
        <v>0</v>
      </c>
      <c r="AY654" s="864">
        <f t="shared" si="661"/>
        <v>0</v>
      </c>
      <c r="AZ654" s="867">
        <f t="shared" si="664"/>
        <v>0</v>
      </c>
      <c r="BA654" s="867">
        <f t="shared" si="664"/>
        <v>0</v>
      </c>
      <c r="BB654" s="867">
        <f t="shared" si="664"/>
        <v>0</v>
      </c>
      <c r="BC654" s="867">
        <f t="shared" si="664"/>
        <v>0</v>
      </c>
      <c r="BD654" s="864">
        <f t="shared" si="662"/>
        <v>0</v>
      </c>
      <c r="BE654" s="864">
        <f t="shared" si="665"/>
        <v>0</v>
      </c>
      <c r="BF654" s="864">
        <f t="shared" si="665"/>
        <v>0</v>
      </c>
      <c r="BG654" s="864">
        <f t="shared" si="665"/>
        <v>0</v>
      </c>
      <c r="BH654" s="821"/>
    </row>
    <row r="655" spans="1:60" customFormat="1" x14ac:dyDescent="0.25">
      <c r="A655" s="367" t="s">
        <v>202</v>
      </c>
      <c r="B655" s="289"/>
      <c r="C655" s="865">
        <v>0</v>
      </c>
      <c r="D655" s="865">
        <v>0</v>
      </c>
      <c r="E655" s="865">
        <v>0</v>
      </c>
      <c r="F655" s="865">
        <v>0</v>
      </c>
      <c r="G655" s="866">
        <v>0</v>
      </c>
      <c r="H655" s="866">
        <v>0</v>
      </c>
      <c r="I655" s="866">
        <v>0</v>
      </c>
      <c r="J655" s="866">
        <v>0</v>
      </c>
      <c r="K655" s="865">
        <v>0</v>
      </c>
      <c r="L655" s="866">
        <v>0</v>
      </c>
      <c r="M655" s="866">
        <v>0</v>
      </c>
      <c r="N655" s="866">
        <v>0</v>
      </c>
      <c r="O655" s="866">
        <v>0</v>
      </c>
      <c r="P655" s="865">
        <v>0</v>
      </c>
      <c r="Q655" s="866">
        <v>0</v>
      </c>
      <c r="R655" s="866">
        <v>0</v>
      </c>
      <c r="S655" s="866">
        <v>0</v>
      </c>
      <c r="T655" s="866">
        <v>0</v>
      </c>
      <c r="U655" s="865">
        <v>0</v>
      </c>
      <c r="V655" s="867"/>
      <c r="W655" s="867"/>
      <c r="X655" s="867"/>
      <c r="Y655" s="867">
        <f t="shared" si="656"/>
        <v>0</v>
      </c>
      <c r="Z655" s="864"/>
      <c r="AA655" s="867"/>
      <c r="AB655" s="867"/>
      <c r="AC655" s="867"/>
      <c r="AD655" s="867">
        <f t="shared" si="657"/>
        <v>0</v>
      </c>
      <c r="AE655" s="864"/>
      <c r="AF655" s="867"/>
      <c r="AG655" s="867"/>
      <c r="AH655" s="867"/>
      <c r="AI655" s="867">
        <f t="shared" si="658"/>
        <v>0</v>
      </c>
      <c r="AJ655" s="864"/>
      <c r="AK655" s="867"/>
      <c r="AL655" s="867"/>
      <c r="AM655" s="867"/>
      <c r="AN655" s="867">
        <f t="shared" si="659"/>
        <v>0</v>
      </c>
      <c r="AO655" s="864"/>
      <c r="AP655" s="867"/>
      <c r="AQ655" s="867"/>
      <c r="AR655" s="867"/>
      <c r="AS655" s="867">
        <f t="shared" si="660"/>
        <v>0</v>
      </c>
      <c r="AT655" s="864"/>
      <c r="AU655" s="867"/>
      <c r="AV655" s="867"/>
      <c r="AW655" s="868"/>
      <c r="AX655" s="867">
        <f t="shared" si="663"/>
        <v>0</v>
      </c>
      <c r="AY655" s="864">
        <f t="shared" si="661"/>
        <v>0</v>
      </c>
      <c r="AZ655" s="867">
        <f t="shared" si="664"/>
        <v>0</v>
      </c>
      <c r="BA655" s="867">
        <f t="shared" si="664"/>
        <v>0</v>
      </c>
      <c r="BB655" s="867">
        <f t="shared" si="664"/>
        <v>0</v>
      </c>
      <c r="BC655" s="867">
        <f t="shared" si="664"/>
        <v>0</v>
      </c>
      <c r="BD655" s="864">
        <f t="shared" si="662"/>
        <v>0</v>
      </c>
      <c r="BE655" s="864">
        <f t="shared" si="665"/>
        <v>0</v>
      </c>
      <c r="BF655" s="864">
        <f t="shared" si="665"/>
        <v>0</v>
      </c>
      <c r="BG655" s="864">
        <f t="shared" si="665"/>
        <v>0</v>
      </c>
      <c r="BH655" s="821"/>
    </row>
    <row r="656" spans="1:60" customFormat="1" x14ac:dyDescent="0.25">
      <c r="A656" s="367" t="s">
        <v>148</v>
      </c>
      <c r="B656" s="289"/>
      <c r="C656" s="865">
        <v>26.741</v>
      </c>
      <c r="D656" s="865">
        <v>62.216999999999999</v>
      </c>
      <c r="E656" s="865">
        <v>56.006999999999998</v>
      </c>
      <c r="F656" s="865">
        <v>0</v>
      </c>
      <c r="G656" s="866">
        <v>57.253999999999998</v>
      </c>
      <c r="H656" s="866">
        <v>32.064</v>
      </c>
      <c r="I656" s="866">
        <v>30.521999999999998</v>
      </c>
      <c r="J656" s="866">
        <v>0</v>
      </c>
      <c r="K656" s="865">
        <v>0</v>
      </c>
      <c r="L656" s="866">
        <v>0</v>
      </c>
      <c r="M656" s="866">
        <v>0</v>
      </c>
      <c r="N656" s="866">
        <v>0</v>
      </c>
      <c r="O656" s="866">
        <v>0</v>
      </c>
      <c r="P656" s="865">
        <v>0</v>
      </c>
      <c r="Q656" s="866">
        <v>0</v>
      </c>
      <c r="R656" s="866">
        <v>0</v>
      </c>
      <c r="S656" s="866">
        <v>0</v>
      </c>
      <c r="T656" s="866">
        <v>0</v>
      </c>
      <c r="U656" s="865">
        <v>0</v>
      </c>
      <c r="V656" s="867"/>
      <c r="W656" s="867"/>
      <c r="X656" s="867"/>
      <c r="Y656" s="867">
        <f t="shared" si="656"/>
        <v>0</v>
      </c>
      <c r="Z656" s="864"/>
      <c r="AA656" s="867"/>
      <c r="AB656" s="867"/>
      <c r="AC656" s="867"/>
      <c r="AD656" s="867">
        <f t="shared" si="657"/>
        <v>0</v>
      </c>
      <c r="AE656" s="864"/>
      <c r="AF656" s="867"/>
      <c r="AG656" s="867"/>
      <c r="AH656" s="867"/>
      <c r="AI656" s="867">
        <f t="shared" si="658"/>
        <v>0</v>
      </c>
      <c r="AJ656" s="864"/>
      <c r="AK656" s="867"/>
      <c r="AL656" s="867"/>
      <c r="AM656" s="867"/>
      <c r="AN656" s="867">
        <f t="shared" si="659"/>
        <v>0</v>
      </c>
      <c r="AO656" s="864"/>
      <c r="AP656" s="867"/>
      <c r="AQ656" s="867"/>
      <c r="AR656" s="867"/>
      <c r="AS656" s="867">
        <f t="shared" si="660"/>
        <v>0</v>
      </c>
      <c r="AT656" s="864"/>
      <c r="AU656" s="867"/>
      <c r="AV656" s="867"/>
      <c r="AW656" s="868"/>
      <c r="AX656" s="867">
        <f t="shared" si="663"/>
        <v>0</v>
      </c>
      <c r="AY656" s="864">
        <f t="shared" si="661"/>
        <v>0</v>
      </c>
      <c r="AZ656" s="867">
        <f t="shared" si="664"/>
        <v>0</v>
      </c>
      <c r="BA656" s="867">
        <f t="shared" si="664"/>
        <v>0</v>
      </c>
      <c r="BB656" s="867">
        <f t="shared" si="664"/>
        <v>0</v>
      </c>
      <c r="BC656" s="867">
        <f t="shared" si="664"/>
        <v>0</v>
      </c>
      <c r="BD656" s="864">
        <f t="shared" si="662"/>
        <v>0</v>
      </c>
      <c r="BE656" s="864">
        <f t="shared" si="665"/>
        <v>0</v>
      </c>
      <c r="BF656" s="864">
        <f t="shared" si="665"/>
        <v>0</v>
      </c>
      <c r="BG656" s="864">
        <f t="shared" si="665"/>
        <v>0</v>
      </c>
      <c r="BH656" s="821"/>
    </row>
    <row r="657" spans="1:60" s="57" customFormat="1" x14ac:dyDescent="0.25">
      <c r="A657" s="178" t="s">
        <v>505</v>
      </c>
      <c r="B657" s="289"/>
      <c r="C657" s="864"/>
      <c r="D657" s="864"/>
      <c r="E657" s="864"/>
      <c r="F657" s="864"/>
      <c r="G657" s="867"/>
      <c r="H657" s="867"/>
      <c r="I657" s="867"/>
      <c r="J657" s="867"/>
      <c r="K657" s="864"/>
      <c r="L657" s="867"/>
      <c r="M657" s="867"/>
      <c r="N657" s="867"/>
      <c r="O657" s="867"/>
      <c r="P657" s="864"/>
      <c r="Q657" s="867"/>
      <c r="R657" s="867"/>
      <c r="S657" s="867"/>
      <c r="T657" s="867"/>
      <c r="U657" s="864"/>
      <c r="V657" s="867"/>
      <c r="W657" s="867"/>
      <c r="X657" s="867"/>
      <c r="Y657" s="867"/>
      <c r="Z657" s="864"/>
      <c r="AA657" s="867"/>
      <c r="AB657" s="867"/>
      <c r="AC657" s="867"/>
      <c r="AD657" s="867"/>
      <c r="AE657" s="864"/>
      <c r="AF657" s="867"/>
      <c r="AG657" s="867"/>
      <c r="AH657" s="867"/>
      <c r="AI657" s="867"/>
      <c r="AJ657" s="864"/>
      <c r="AK657" s="867"/>
      <c r="AL657" s="867"/>
      <c r="AM657" s="867"/>
      <c r="AN657" s="867">
        <f t="shared" si="659"/>
        <v>1.863</v>
      </c>
      <c r="AO657" s="864">
        <v>1.863</v>
      </c>
      <c r="AP657" s="867">
        <v>2.5139999999999998</v>
      </c>
      <c r="AQ657" s="867">
        <v>2.4830000000000001</v>
      </c>
      <c r="AR657" s="867">
        <v>2.7610000000000001</v>
      </c>
      <c r="AS657" s="866">
        <f t="shared" si="660"/>
        <v>1.7829999999999999</v>
      </c>
      <c r="AT657" s="865">
        <v>1.7829999999999999</v>
      </c>
      <c r="AU657" s="866">
        <v>2.1589999999999998</v>
      </c>
      <c r="AV657" s="867">
        <v>2.6890000000000001</v>
      </c>
      <c r="AW657" s="878">
        <v>1.98</v>
      </c>
      <c r="AX657" s="867">
        <f t="shared" si="663"/>
        <v>1.98</v>
      </c>
      <c r="AY657" s="864">
        <f t="shared" si="661"/>
        <v>1.98</v>
      </c>
      <c r="AZ657" s="867">
        <f t="shared" si="664"/>
        <v>1.98</v>
      </c>
      <c r="BA657" s="867">
        <f t="shared" si="664"/>
        <v>1.98</v>
      </c>
      <c r="BB657" s="867">
        <f t="shared" si="664"/>
        <v>1.98</v>
      </c>
      <c r="BC657" s="867">
        <f t="shared" si="664"/>
        <v>1.98</v>
      </c>
      <c r="BD657" s="864">
        <f t="shared" si="662"/>
        <v>1.98</v>
      </c>
      <c r="BE657" s="864">
        <f t="shared" si="665"/>
        <v>1.98</v>
      </c>
      <c r="BF657" s="864">
        <f t="shared" si="665"/>
        <v>1.98</v>
      </c>
      <c r="BG657" s="864">
        <f t="shared" si="665"/>
        <v>1.98</v>
      </c>
      <c r="BH657" s="821"/>
    </row>
    <row r="658" spans="1:60" customFormat="1" x14ac:dyDescent="0.25">
      <c r="A658" s="113" t="s">
        <v>149</v>
      </c>
      <c r="B658" s="441"/>
      <c r="C658" s="886">
        <v>26.701000000000001</v>
      </c>
      <c r="D658" s="886">
        <v>43.621000000000002</v>
      </c>
      <c r="E658" s="886">
        <v>57.33</v>
      </c>
      <c r="F658" s="886">
        <v>124.551</v>
      </c>
      <c r="G658" s="885">
        <v>82.468999999999994</v>
      </c>
      <c r="H658" s="885">
        <v>94.539000000000001</v>
      </c>
      <c r="I658" s="885">
        <v>106.255</v>
      </c>
      <c r="J658" s="885">
        <v>151.93700000000001</v>
      </c>
      <c r="K658" s="886">
        <v>151.93700000000001</v>
      </c>
      <c r="L658" s="885">
        <v>147.131</v>
      </c>
      <c r="M658" s="885">
        <v>167.67400000000001</v>
      </c>
      <c r="N658" s="885">
        <v>149.68199999999999</v>
      </c>
      <c r="O658" s="885">
        <v>206.27099999999999</v>
      </c>
      <c r="P658" s="886">
        <v>206.27099999999999</v>
      </c>
      <c r="Q658" s="885">
        <v>210.90100000000001</v>
      </c>
      <c r="R658" s="885">
        <v>292.80599999999998</v>
      </c>
      <c r="S658" s="885">
        <v>264.887</v>
      </c>
      <c r="T658" s="885">
        <v>215.12700000000001</v>
      </c>
      <c r="U658" s="886">
        <v>215.12700000000001</v>
      </c>
      <c r="V658" s="885">
        <v>212.72399999999999</v>
      </c>
      <c r="W658" s="885">
        <v>203.428</v>
      </c>
      <c r="X658" s="885">
        <v>218.238</v>
      </c>
      <c r="Y658" s="882">
        <f>Z658</f>
        <v>260.202</v>
      </c>
      <c r="Z658" s="881">
        <v>260.202</v>
      </c>
      <c r="AA658" s="885">
        <v>292.48599999999999</v>
      </c>
      <c r="AB658" s="885">
        <v>386.77199999999999</v>
      </c>
      <c r="AC658" s="885">
        <v>415.49200000000002</v>
      </c>
      <c r="AD658" s="882">
        <f>AE658</f>
        <v>536.245</v>
      </c>
      <c r="AE658" s="881">
        <v>536.245</v>
      </c>
      <c r="AF658" s="885">
        <v>597.38800000000003</v>
      </c>
      <c r="AG658" s="885">
        <v>636.86900000000003</v>
      </c>
      <c r="AH658" s="885">
        <v>674.53099999999995</v>
      </c>
      <c r="AI658" s="882">
        <f>AJ658</f>
        <v>748.46600000000001</v>
      </c>
      <c r="AJ658" s="881">
        <v>748.46600000000001</v>
      </c>
      <c r="AK658" s="885">
        <v>820.35</v>
      </c>
      <c r="AL658" s="885">
        <v>872.91</v>
      </c>
      <c r="AM658" s="885">
        <v>892.74</v>
      </c>
      <c r="AN658" s="882">
        <f t="shared" si="659"/>
        <v>1158.204</v>
      </c>
      <c r="AO658" s="881">
        <f>1160.067-AO657</f>
        <v>1158.204</v>
      </c>
      <c r="AP658" s="885">
        <f>1295.897-AP657</f>
        <v>1293.383</v>
      </c>
      <c r="AQ658" s="885">
        <f>1410.891-AQ657</f>
        <v>1408.4080000000001</v>
      </c>
      <c r="AR658" s="885">
        <f>1434.089-AR657</f>
        <v>1431.328</v>
      </c>
      <c r="AS658" s="882">
        <f t="shared" si="660"/>
        <v>1554.2470000000001</v>
      </c>
      <c r="AT658" s="881">
        <f>1556.03-AT657</f>
        <v>1554.2470000000001</v>
      </c>
      <c r="AU658" s="885">
        <f>1703.803-AU657</f>
        <v>1701.644</v>
      </c>
      <c r="AV658" s="885">
        <f>1826.746-AV657</f>
        <v>1824.057</v>
      </c>
      <c r="AW658" s="891">
        <f>1889.106-AW657</f>
        <v>1887.126</v>
      </c>
      <c r="AX658" s="882">
        <f>(AX$379+AW$379+AV$379+AU$379)*AX616</f>
        <v>1847.4732733842388</v>
      </c>
      <c r="AY658" s="881">
        <f t="shared" si="661"/>
        <v>1847.4732733842388</v>
      </c>
      <c r="AZ658" s="882">
        <f>(AZ$379+AX$379+AW$379+AV$379)*AZ616</f>
        <v>1969.5322281431579</v>
      </c>
      <c r="BA658" s="882">
        <f>(BA$379+AZ$379+AX$379+AW$379)*BA616</f>
        <v>2078.400980524581</v>
      </c>
      <c r="BB658" s="882">
        <f>(BB$379+BA$379+AZ$379+AX$379)*BB616</f>
        <v>2136.2210804185383</v>
      </c>
      <c r="BC658" s="882">
        <f>(BC$379+BB$379+BA$379+AZ$379)*BC616</f>
        <v>2077.1432721919696</v>
      </c>
      <c r="BD658" s="881">
        <f t="shared" si="662"/>
        <v>2077.1432721919696</v>
      </c>
      <c r="BE658" s="881">
        <f>BE379*BE616</f>
        <v>2344.2180014895548</v>
      </c>
      <c r="BF658" s="881">
        <f>BF379*BF616</f>
        <v>2668.3627850641305</v>
      </c>
      <c r="BG658" s="881">
        <f>BG379*BG616</f>
        <v>3044.3222356818792</v>
      </c>
      <c r="BH658" s="821"/>
    </row>
    <row r="659" spans="1:60" customFormat="1" x14ac:dyDescent="0.25">
      <c r="A659" s="61" t="s">
        <v>203</v>
      </c>
      <c r="B659" s="505"/>
      <c r="C659" s="872">
        <f t="shared" ref="C659:AH659" si="666">SUM(C650:C658)</f>
        <v>411.01299999999998</v>
      </c>
      <c r="D659" s="872">
        <f t="shared" si="666"/>
        <v>637.23099999999999</v>
      </c>
      <c r="E659" s="872">
        <f t="shared" si="666"/>
        <v>1830.857</v>
      </c>
      <c r="F659" s="872">
        <f t="shared" si="666"/>
        <v>2240.7909999999997</v>
      </c>
      <c r="G659" s="871">
        <f t="shared" si="666"/>
        <v>2557.1000000000004</v>
      </c>
      <c r="H659" s="871">
        <f t="shared" si="666"/>
        <v>2570.3220000000001</v>
      </c>
      <c r="I659" s="871">
        <f t="shared" si="666"/>
        <v>2849.2780000000002</v>
      </c>
      <c r="J659" s="871">
        <f t="shared" si="666"/>
        <v>3058.7629999999999</v>
      </c>
      <c r="K659" s="872">
        <f t="shared" si="666"/>
        <v>3058.7629999999999</v>
      </c>
      <c r="L659" s="871">
        <f t="shared" si="666"/>
        <v>3586.7840000000001</v>
      </c>
      <c r="M659" s="871">
        <f t="shared" si="666"/>
        <v>3668.3799999999997</v>
      </c>
      <c r="N659" s="871">
        <f t="shared" si="666"/>
        <v>3823.482</v>
      </c>
      <c r="O659" s="871">
        <f t="shared" si="666"/>
        <v>3940.4690000000005</v>
      </c>
      <c r="P659" s="872">
        <f t="shared" si="666"/>
        <v>3940.4690000000005</v>
      </c>
      <c r="Q659" s="871">
        <f t="shared" si="666"/>
        <v>5539.0560000000005</v>
      </c>
      <c r="R659" s="871">
        <f t="shared" si="666"/>
        <v>5600.5099999999993</v>
      </c>
      <c r="S659" s="871">
        <f t="shared" si="666"/>
        <v>5569.7129999999997</v>
      </c>
      <c r="T659" s="871">
        <f t="shared" si="666"/>
        <v>5431.84</v>
      </c>
      <c r="U659" s="872">
        <f t="shared" si="666"/>
        <v>5431.84</v>
      </c>
      <c r="V659" s="871">
        <f t="shared" si="666"/>
        <v>5543.8360000000002</v>
      </c>
      <c r="W659" s="871">
        <f t="shared" si="666"/>
        <v>5386.9179999999997</v>
      </c>
      <c r="X659" s="871">
        <f t="shared" si="666"/>
        <v>5193.893</v>
      </c>
      <c r="Y659" s="870">
        <f t="shared" si="666"/>
        <v>5720.2910000000002</v>
      </c>
      <c r="Z659" s="869">
        <f t="shared" si="666"/>
        <v>5720.2910000000002</v>
      </c>
      <c r="AA659" s="871">
        <f t="shared" si="666"/>
        <v>5660.33</v>
      </c>
      <c r="AB659" s="871">
        <f t="shared" si="666"/>
        <v>6700.7849999999999</v>
      </c>
      <c r="AC659" s="871">
        <f t="shared" si="666"/>
        <v>6385.348</v>
      </c>
      <c r="AD659" s="870">
        <f t="shared" si="666"/>
        <v>7669.9740000000002</v>
      </c>
      <c r="AE659" s="869">
        <f t="shared" si="666"/>
        <v>7669.9740000000002</v>
      </c>
      <c r="AF659" s="871">
        <f t="shared" si="666"/>
        <v>7817.576</v>
      </c>
      <c r="AG659" s="871">
        <f t="shared" si="666"/>
        <v>9346.889000000001</v>
      </c>
      <c r="AH659" s="871">
        <f t="shared" si="666"/>
        <v>8729.9809999999998</v>
      </c>
      <c r="AI659" s="870">
        <f t="shared" ref="AI659:AY659" si="667">SUM(AI650:AI658)</f>
        <v>9694.1350000000002</v>
      </c>
      <c r="AJ659" s="869">
        <f t="shared" si="667"/>
        <v>9694.1350000000002</v>
      </c>
      <c r="AK659" s="871">
        <f t="shared" si="667"/>
        <v>4168.9070000000002</v>
      </c>
      <c r="AL659" s="871">
        <f t="shared" si="667"/>
        <v>5877.1570000000002</v>
      </c>
      <c r="AM659" s="871">
        <f t="shared" si="667"/>
        <v>5327.7579999999998</v>
      </c>
      <c r="AN659" s="870">
        <f t="shared" si="667"/>
        <v>6178.5039999999999</v>
      </c>
      <c r="AO659" s="869">
        <f t="shared" si="667"/>
        <v>6178.5039999999999</v>
      </c>
      <c r="AP659" s="871">
        <f t="shared" si="667"/>
        <v>6447.7809999999999</v>
      </c>
      <c r="AQ659" s="871">
        <f t="shared" si="667"/>
        <v>8564.1389999999992</v>
      </c>
      <c r="AR659" s="871">
        <f>SUM(AR650:AR658)</f>
        <v>9826.48</v>
      </c>
      <c r="AS659" s="870">
        <f>SUM(AS650:AS658)</f>
        <v>9761.5799999999981</v>
      </c>
      <c r="AT659" s="869">
        <f>SUM(AT650:AT658)</f>
        <v>9761.5799999999981</v>
      </c>
      <c r="AU659" s="871">
        <f t="shared" ref="AU659" si="668">SUM(AU650:AU658)</f>
        <v>10107.508</v>
      </c>
      <c r="AV659" s="871">
        <f>SUM(AV650:AV658)</f>
        <v>9604.2759999999998</v>
      </c>
      <c r="AW659" s="873">
        <f>SUM(AW650:AW658)</f>
        <v>9415.7869999999984</v>
      </c>
      <c r="AX659" s="870">
        <f t="shared" ca="1" si="667"/>
        <v>9767.5672636935069</v>
      </c>
      <c r="AY659" s="869">
        <f t="shared" ca="1" si="667"/>
        <v>9767.5672636935069</v>
      </c>
      <c r="AZ659" s="870">
        <f t="shared" ref="AZ659:BG659" ca="1" si="669">SUM(AZ650:AZ658)</f>
        <v>10816.980954978824</v>
      </c>
      <c r="BA659" s="870">
        <f t="shared" ca="1" si="669"/>
        <v>11790.514144177645</v>
      </c>
      <c r="BB659" s="870">
        <f t="shared" ca="1" si="669"/>
        <v>13304.474751439133</v>
      </c>
      <c r="BC659" s="870">
        <f t="shared" ca="1" si="669"/>
        <v>14244.491287082248</v>
      </c>
      <c r="BD659" s="869">
        <f t="shared" ca="1" si="669"/>
        <v>14244.491287082248</v>
      </c>
      <c r="BE659" s="869">
        <f t="shared" ca="1" si="669"/>
        <v>21206.240312276714</v>
      </c>
      <c r="BF659" s="869">
        <f t="shared" ca="1" si="669"/>
        <v>31269.242282499348</v>
      </c>
      <c r="BG659" s="869">
        <f t="shared" ca="1" si="669"/>
        <v>44787.678693389505</v>
      </c>
      <c r="BH659" s="824"/>
    </row>
    <row r="660" spans="1:60" customFormat="1" x14ac:dyDescent="0.25">
      <c r="A660" s="494"/>
      <c r="B660" s="423"/>
      <c r="C660" s="874"/>
      <c r="D660" s="874"/>
      <c r="E660" s="874"/>
      <c r="F660" s="874"/>
      <c r="G660" s="879"/>
      <c r="H660" s="879"/>
      <c r="I660" s="879"/>
      <c r="J660" s="879"/>
      <c r="K660" s="874"/>
      <c r="L660" s="879"/>
      <c r="M660" s="879"/>
      <c r="N660" s="879"/>
      <c r="O660" s="879"/>
      <c r="P660" s="874"/>
      <c r="Q660" s="879"/>
      <c r="R660" s="879"/>
      <c r="S660" s="879"/>
      <c r="T660" s="879"/>
      <c r="U660" s="874"/>
      <c r="V660" s="879"/>
      <c r="W660" s="879"/>
      <c r="X660" s="879"/>
      <c r="Y660" s="879"/>
      <c r="Z660" s="874"/>
      <c r="AA660" s="879"/>
      <c r="AB660" s="879"/>
      <c r="AC660" s="879"/>
      <c r="AD660" s="879"/>
      <c r="AE660" s="874"/>
      <c r="AF660" s="879"/>
      <c r="AG660" s="879"/>
      <c r="AH660" s="879"/>
      <c r="AI660" s="879"/>
      <c r="AJ660" s="874"/>
      <c r="AK660" s="879"/>
      <c r="AL660" s="879"/>
      <c r="AM660" s="879"/>
      <c r="AN660" s="879"/>
      <c r="AO660" s="874"/>
      <c r="AP660" s="879"/>
      <c r="AQ660" s="879"/>
      <c r="AR660" s="879"/>
      <c r="AS660" s="879"/>
      <c r="AT660" s="874"/>
      <c r="AU660" s="879"/>
      <c r="AV660" s="879"/>
      <c r="AW660" s="880"/>
      <c r="AX660" s="879"/>
      <c r="AY660" s="874"/>
      <c r="AZ660" s="879"/>
      <c r="BA660" s="879"/>
      <c r="BB660" s="879"/>
      <c r="BC660" s="879"/>
      <c r="BD660" s="874"/>
      <c r="BE660" s="874"/>
      <c r="BF660" s="874"/>
      <c r="BG660" s="874"/>
      <c r="BH660" s="824"/>
    </row>
    <row r="661" spans="1:60" customFormat="1" x14ac:dyDescent="0.25">
      <c r="A661" s="73" t="s">
        <v>204</v>
      </c>
      <c r="B661" s="423"/>
      <c r="C661" s="874"/>
      <c r="D661" s="874"/>
      <c r="E661" s="874"/>
      <c r="F661" s="874"/>
      <c r="G661" s="879"/>
      <c r="H661" s="879"/>
      <c r="I661" s="879"/>
      <c r="J661" s="879"/>
      <c r="K661" s="874"/>
      <c r="L661" s="879"/>
      <c r="M661" s="879"/>
      <c r="N661" s="879"/>
      <c r="O661" s="879"/>
      <c r="P661" s="874"/>
      <c r="Q661" s="879"/>
      <c r="R661" s="879"/>
      <c r="S661" s="879"/>
      <c r="T661" s="879"/>
      <c r="U661" s="874"/>
      <c r="V661" s="879"/>
      <c r="W661" s="879"/>
      <c r="X661" s="879"/>
      <c r="Y661" s="879"/>
      <c r="Z661" s="874"/>
      <c r="AA661" s="879"/>
      <c r="AB661" s="879"/>
      <c r="AC661" s="879"/>
      <c r="AD661" s="879"/>
      <c r="AE661" s="874"/>
      <c r="AF661" s="879"/>
      <c r="AG661" s="879"/>
      <c r="AH661" s="879"/>
      <c r="AI661" s="879"/>
      <c r="AJ661" s="874"/>
      <c r="AK661" s="879"/>
      <c r="AL661" s="879"/>
      <c r="AM661" s="879"/>
      <c r="AN661" s="879"/>
      <c r="AO661" s="874"/>
      <c r="AP661" s="879"/>
      <c r="AQ661" s="879"/>
      <c r="AR661" s="879"/>
      <c r="AS661" s="879"/>
      <c r="AT661" s="874"/>
      <c r="AU661" s="879"/>
      <c r="AV661" s="879"/>
      <c r="AW661" s="880"/>
      <c r="AX661" s="879"/>
      <c r="AY661" s="874"/>
      <c r="AZ661" s="879"/>
      <c r="BA661" s="879"/>
      <c r="BB661" s="879"/>
      <c r="BC661" s="879"/>
      <c r="BD661" s="874"/>
      <c r="BE661" s="874"/>
      <c r="BF661" s="874"/>
      <c r="BG661" s="874"/>
      <c r="BH661" s="824"/>
    </row>
    <row r="662" spans="1:60" s="57" customFormat="1" x14ac:dyDescent="0.25">
      <c r="A662" s="418" t="s">
        <v>423</v>
      </c>
      <c r="B662" s="289"/>
      <c r="C662" s="864"/>
      <c r="D662" s="864"/>
      <c r="E662" s="864"/>
      <c r="F662" s="864"/>
      <c r="G662" s="867"/>
      <c r="H662" s="867"/>
      <c r="I662" s="867"/>
      <c r="J662" s="867"/>
      <c r="K662" s="864"/>
      <c r="L662" s="867"/>
      <c r="M662" s="867"/>
      <c r="N662" s="867"/>
      <c r="O662" s="867"/>
      <c r="P662" s="864"/>
      <c r="Q662" s="867"/>
      <c r="R662" s="867"/>
      <c r="S662" s="867"/>
      <c r="T662" s="867"/>
      <c r="U662" s="864"/>
      <c r="V662" s="867"/>
      <c r="W662" s="867"/>
      <c r="X662" s="867"/>
      <c r="Y662" s="867"/>
      <c r="Z662" s="864"/>
      <c r="AA662" s="867"/>
      <c r="AB662" s="867"/>
      <c r="AC662" s="867"/>
      <c r="AD662" s="867"/>
      <c r="AE662" s="864"/>
      <c r="AF662" s="867"/>
      <c r="AG662" s="867"/>
      <c r="AH662" s="867"/>
      <c r="AI662" s="867"/>
      <c r="AJ662" s="864"/>
      <c r="AK662" s="867">
        <v>14297.657999999999</v>
      </c>
      <c r="AL662" s="867">
        <v>14597.282999999999</v>
      </c>
      <c r="AM662" s="867">
        <v>14581.406999999999</v>
      </c>
      <c r="AN662" s="867">
        <f>AO662</f>
        <v>14703.352000000001</v>
      </c>
      <c r="AO662" s="864">
        <v>14703.352000000001</v>
      </c>
      <c r="AP662" s="867">
        <v>14637.502</v>
      </c>
      <c r="AQ662" s="867">
        <v>14632.723</v>
      </c>
      <c r="AR662" s="867">
        <v>14297.143</v>
      </c>
      <c r="AS662" s="867">
        <f>AT662</f>
        <v>13747.607</v>
      </c>
      <c r="AT662" s="864">
        <v>13747.607</v>
      </c>
      <c r="AU662" s="866">
        <v>13351.415999999999</v>
      </c>
      <c r="AV662" s="867">
        <v>13111.259</v>
      </c>
      <c r="AW662" s="878">
        <v>13111.028</v>
      </c>
      <c r="AX662" s="867"/>
      <c r="AY662" s="864"/>
      <c r="AZ662" s="867"/>
      <c r="BA662" s="867"/>
      <c r="BB662" s="867"/>
      <c r="BC662" s="867"/>
      <c r="BD662" s="864"/>
      <c r="BE662" s="864"/>
      <c r="BF662" s="864"/>
      <c r="BG662" s="864"/>
      <c r="BH662" s="821"/>
    </row>
    <row r="663" spans="1:60" s="57" customFormat="1" x14ac:dyDescent="0.25">
      <c r="A663" s="154" t="s">
        <v>425</v>
      </c>
      <c r="B663" s="289"/>
      <c r="C663" s="864"/>
      <c r="D663" s="864"/>
      <c r="E663" s="864"/>
      <c r="F663" s="864"/>
      <c r="G663" s="867"/>
      <c r="H663" s="867"/>
      <c r="I663" s="867"/>
      <c r="J663" s="867"/>
      <c r="K663" s="864"/>
      <c r="L663" s="867"/>
      <c r="M663" s="867"/>
      <c r="N663" s="867"/>
      <c r="O663" s="867"/>
      <c r="P663" s="864"/>
      <c r="Q663" s="867"/>
      <c r="R663" s="867"/>
      <c r="S663" s="867"/>
      <c r="T663" s="867"/>
      <c r="U663" s="864"/>
      <c r="V663" s="867"/>
      <c r="W663" s="867"/>
      <c r="X663" s="867"/>
      <c r="Y663" s="867"/>
      <c r="Z663" s="864"/>
      <c r="AA663" s="867"/>
      <c r="AB663" s="867"/>
      <c r="AC663" s="867"/>
      <c r="AD663" s="867"/>
      <c r="AE663" s="864"/>
      <c r="AF663" s="867"/>
      <c r="AG663" s="867"/>
      <c r="AH663" s="867"/>
      <c r="AI663" s="867"/>
      <c r="AJ663" s="864"/>
      <c r="AK663" s="866">
        <v>2737.6770000000001</v>
      </c>
      <c r="AL663" s="866">
        <v>3117.549</v>
      </c>
      <c r="AM663" s="866">
        <v>3646.87</v>
      </c>
      <c r="AN663" s="866">
        <f>AO663</f>
        <v>4382.6850000000004</v>
      </c>
      <c r="AO663" s="865">
        <v>4382.6850000000004</v>
      </c>
      <c r="AP663" s="866">
        <v>4638.7359999999999</v>
      </c>
      <c r="AQ663" s="866">
        <v>5034.1390000000001</v>
      </c>
      <c r="AR663" s="866">
        <v>5186.2470000000003</v>
      </c>
      <c r="AS663" s="866">
        <f>AT663</f>
        <v>5809.6809999999996</v>
      </c>
      <c r="AT663" s="865">
        <v>5809.6809999999996</v>
      </c>
      <c r="AU663" s="867">
        <v>5671.1819999999998</v>
      </c>
      <c r="AV663" s="867">
        <v>5847.3909999999996</v>
      </c>
      <c r="AW663" s="868">
        <v>6093.87</v>
      </c>
      <c r="AX663" s="867"/>
      <c r="AY663" s="864"/>
      <c r="AZ663" s="867"/>
      <c r="BA663" s="867"/>
      <c r="BB663" s="867"/>
      <c r="BC663" s="867"/>
      <c r="BD663" s="864"/>
      <c r="BE663" s="864"/>
      <c r="BF663" s="864"/>
      <c r="BG663" s="864"/>
      <c r="BH663" s="821"/>
    </row>
    <row r="664" spans="1:60" s="57" customFormat="1" x14ac:dyDescent="0.25">
      <c r="A664" s="154" t="s">
        <v>426</v>
      </c>
      <c r="B664" s="289"/>
      <c r="C664" s="864"/>
      <c r="D664" s="864"/>
      <c r="E664" s="864"/>
      <c r="F664" s="864"/>
      <c r="G664" s="867"/>
      <c r="H664" s="867"/>
      <c r="I664" s="867"/>
      <c r="J664" s="867"/>
      <c r="K664" s="864"/>
      <c r="L664" s="867"/>
      <c r="M664" s="867"/>
      <c r="N664" s="867"/>
      <c r="O664" s="867"/>
      <c r="P664" s="864"/>
      <c r="Q664" s="867"/>
      <c r="R664" s="867"/>
      <c r="S664" s="867"/>
      <c r="T664" s="867"/>
      <c r="U664" s="864"/>
      <c r="V664" s="867"/>
      <c r="W664" s="867"/>
      <c r="X664" s="867"/>
      <c r="Y664" s="867"/>
      <c r="Z664" s="864"/>
      <c r="AA664" s="867"/>
      <c r="AB664" s="867"/>
      <c r="AC664" s="867"/>
      <c r="AD664" s="867"/>
      <c r="AE664" s="864"/>
      <c r="AF664" s="867"/>
      <c r="AG664" s="867"/>
      <c r="AH664" s="867"/>
      <c r="AI664" s="867"/>
      <c r="AJ664" s="864"/>
      <c r="AK664" s="866">
        <v>3494.4670000000001</v>
      </c>
      <c r="AL664" s="866">
        <v>3743.893</v>
      </c>
      <c r="AM664" s="866">
        <v>4411.5810000000001</v>
      </c>
      <c r="AN664" s="866">
        <f>AO664</f>
        <v>4750.6639999999998</v>
      </c>
      <c r="AO664" s="865">
        <v>4750.6639999999998</v>
      </c>
      <c r="AP664" s="866">
        <v>5282.35</v>
      </c>
      <c r="AQ664" s="866">
        <v>4717.598</v>
      </c>
      <c r="AR664" s="866">
        <v>4696.99</v>
      </c>
      <c r="AS664" s="866">
        <f>AT664</f>
        <v>4827.4549999999999</v>
      </c>
      <c r="AT664" s="865">
        <v>4827.4549999999999</v>
      </c>
      <c r="AU664" s="867">
        <v>6030.3490000000002</v>
      </c>
      <c r="AV664" s="867">
        <v>7348.81</v>
      </c>
      <c r="AW664" s="868">
        <v>8842.1219999999994</v>
      </c>
      <c r="AX664" s="867"/>
      <c r="AY664" s="864"/>
      <c r="AZ664" s="867"/>
      <c r="BA664" s="867"/>
      <c r="BB664" s="867"/>
      <c r="BC664" s="867"/>
      <c r="BD664" s="864"/>
      <c r="BE664" s="864"/>
      <c r="BF664" s="864"/>
      <c r="BG664" s="864"/>
      <c r="BH664" s="821"/>
    </row>
    <row r="665" spans="1:60" s="57" customFormat="1" x14ac:dyDescent="0.25">
      <c r="A665" s="154" t="s">
        <v>427</v>
      </c>
      <c r="B665" s="289"/>
      <c r="C665" s="864"/>
      <c r="D665" s="864"/>
      <c r="E665" s="864"/>
      <c r="F665" s="864"/>
      <c r="G665" s="867"/>
      <c r="H665" s="867"/>
      <c r="I665" s="867"/>
      <c r="J665" s="867"/>
      <c r="K665" s="864"/>
      <c r="L665" s="867"/>
      <c r="M665" s="867"/>
      <c r="N665" s="867"/>
      <c r="O665" s="867"/>
      <c r="P665" s="864"/>
      <c r="Q665" s="867"/>
      <c r="R665" s="867"/>
      <c r="S665" s="867"/>
      <c r="T665" s="867"/>
      <c r="U665" s="864"/>
      <c r="V665" s="867"/>
      <c r="W665" s="867"/>
      <c r="X665" s="867"/>
      <c r="Y665" s="867"/>
      <c r="Z665" s="864"/>
      <c r="AA665" s="867"/>
      <c r="AB665" s="867"/>
      <c r="AC665" s="867"/>
      <c r="AD665" s="867"/>
      <c r="AE665" s="864"/>
      <c r="AF665" s="867"/>
      <c r="AG665" s="867"/>
      <c r="AH665" s="867"/>
      <c r="AI665" s="867"/>
      <c r="AJ665" s="864"/>
      <c r="AK665" s="866">
        <v>348.51499999999999</v>
      </c>
      <c r="AL665" s="866">
        <v>479.12</v>
      </c>
      <c r="AM665" s="866">
        <v>587.91399999999999</v>
      </c>
      <c r="AN665" s="866">
        <f>AO665</f>
        <v>667.86599999999999</v>
      </c>
      <c r="AO665" s="865">
        <v>667.86599999999999</v>
      </c>
      <c r="AP665" s="866">
        <v>708.30100000000004</v>
      </c>
      <c r="AQ665" s="866">
        <v>770.65700000000004</v>
      </c>
      <c r="AR665" s="866">
        <v>887.25300000000004</v>
      </c>
      <c r="AS665" s="866">
        <f>AT665</f>
        <v>999.20699999999999</v>
      </c>
      <c r="AT665" s="865">
        <v>999.20699999999999</v>
      </c>
      <c r="AU665" s="867">
        <v>991.04399999999998</v>
      </c>
      <c r="AV665" s="867">
        <v>984.18</v>
      </c>
      <c r="AW665" s="868">
        <v>927.02499999999998</v>
      </c>
      <c r="AX665" s="867"/>
      <c r="AY665" s="864"/>
      <c r="AZ665" s="867"/>
      <c r="BA665" s="867"/>
      <c r="BB665" s="867"/>
      <c r="BC665" s="867"/>
      <c r="BD665" s="864"/>
      <c r="BE665" s="864"/>
      <c r="BF665" s="864"/>
      <c r="BG665" s="864"/>
      <c r="BH665" s="821"/>
    </row>
    <row r="666" spans="1:60" s="57" customFormat="1" x14ac:dyDescent="0.25">
      <c r="A666" s="366" t="s">
        <v>424</v>
      </c>
      <c r="B666" s="504"/>
      <c r="C666" s="897"/>
      <c r="D666" s="897"/>
      <c r="E666" s="897"/>
      <c r="F666" s="897"/>
      <c r="G666" s="898"/>
      <c r="H666" s="898"/>
      <c r="I666" s="898"/>
      <c r="J666" s="898"/>
      <c r="K666" s="897"/>
      <c r="L666" s="898"/>
      <c r="M666" s="898"/>
      <c r="N666" s="898"/>
      <c r="O666" s="898"/>
      <c r="P666" s="897"/>
      <c r="Q666" s="898"/>
      <c r="R666" s="898"/>
      <c r="S666" s="898"/>
      <c r="T666" s="898"/>
      <c r="U666" s="897"/>
      <c r="V666" s="898"/>
      <c r="W666" s="898"/>
      <c r="X666" s="898"/>
      <c r="Y666" s="898"/>
      <c r="Z666" s="897"/>
      <c r="AA666" s="898"/>
      <c r="AB666" s="898"/>
      <c r="AC666" s="898"/>
      <c r="AD666" s="898"/>
      <c r="AE666" s="897"/>
      <c r="AF666" s="898"/>
      <c r="AG666" s="898"/>
      <c r="AH666" s="898"/>
      <c r="AI666" s="898"/>
      <c r="AJ666" s="897"/>
      <c r="AK666" s="911">
        <f t="shared" ref="AK666:AR666" si="670">SUM(AK663:AK665)</f>
        <v>6580.6590000000006</v>
      </c>
      <c r="AL666" s="911">
        <f t="shared" si="670"/>
        <v>7340.5619999999999</v>
      </c>
      <c r="AM666" s="911">
        <f t="shared" si="670"/>
        <v>8646.3649999999998</v>
      </c>
      <c r="AN666" s="911">
        <f t="shared" si="670"/>
        <v>9801.2150000000001</v>
      </c>
      <c r="AO666" s="910">
        <f t="shared" si="670"/>
        <v>9801.2150000000001</v>
      </c>
      <c r="AP666" s="911">
        <f t="shared" si="670"/>
        <v>10629.386999999999</v>
      </c>
      <c r="AQ666" s="911">
        <f t="shared" si="670"/>
        <v>10522.394</v>
      </c>
      <c r="AR666" s="911">
        <f t="shared" si="670"/>
        <v>10770.490000000002</v>
      </c>
      <c r="AS666" s="911">
        <f>SUM(AS663:AS665)</f>
        <v>11636.342999999999</v>
      </c>
      <c r="AT666" s="910">
        <f>SUM(AT663:AT665)</f>
        <v>11636.342999999999</v>
      </c>
      <c r="AU666" s="936">
        <f>SUM(AU663:AU665)</f>
        <v>12692.574999999999</v>
      </c>
      <c r="AV666" s="911">
        <f>SUM(AV663:AV665)</f>
        <v>14180.381000000001</v>
      </c>
      <c r="AW666" s="912">
        <f>SUM(AW663:AW665)</f>
        <v>15863.016999999998</v>
      </c>
      <c r="AX666" s="898"/>
      <c r="AY666" s="897"/>
      <c r="AZ666" s="898"/>
      <c r="BA666" s="898"/>
      <c r="BB666" s="898"/>
      <c r="BC666" s="898"/>
      <c r="BD666" s="897"/>
      <c r="BE666" s="897"/>
      <c r="BF666" s="897"/>
      <c r="BG666" s="897"/>
      <c r="BH666" s="821"/>
    </row>
    <row r="667" spans="1:60" customFormat="1" x14ac:dyDescent="0.25">
      <c r="A667" s="76" t="s">
        <v>428</v>
      </c>
      <c r="B667" s="289"/>
      <c r="C667" s="874"/>
      <c r="D667" s="874"/>
      <c r="E667" s="874"/>
      <c r="F667" s="874"/>
      <c r="G667" s="879"/>
      <c r="H667" s="879"/>
      <c r="I667" s="879"/>
      <c r="J667" s="879"/>
      <c r="K667" s="874"/>
      <c r="L667" s="879"/>
      <c r="M667" s="879"/>
      <c r="N667" s="879"/>
      <c r="O667" s="879"/>
      <c r="P667" s="874"/>
      <c r="Q667" s="879"/>
      <c r="R667" s="879"/>
      <c r="S667" s="879"/>
      <c r="T667" s="879"/>
      <c r="U667" s="874"/>
      <c r="V667" s="879"/>
      <c r="W667" s="879"/>
      <c r="X667" s="879"/>
      <c r="Y667" s="879"/>
      <c r="Z667" s="874"/>
      <c r="AA667" s="879"/>
      <c r="AB667" s="879"/>
      <c r="AC667" s="879"/>
      <c r="AD667" s="879"/>
      <c r="AE667" s="874"/>
      <c r="AF667" s="879"/>
      <c r="AG667" s="879"/>
      <c r="AH667" s="879"/>
      <c r="AI667" s="879"/>
      <c r="AJ667" s="874"/>
      <c r="AK667" s="866">
        <v>10.468</v>
      </c>
      <c r="AL667" s="866">
        <v>7.8949999999999996</v>
      </c>
      <c r="AM667" s="866">
        <v>7.2220000000000004</v>
      </c>
      <c r="AN667" s="879"/>
      <c r="AO667" s="874"/>
      <c r="AP667" s="867"/>
      <c r="AQ667" s="867"/>
      <c r="AR667" s="867"/>
      <c r="AS667" s="879"/>
      <c r="AT667" s="874"/>
      <c r="AU667" s="867"/>
      <c r="AV667" s="867"/>
      <c r="AW667" s="868"/>
      <c r="AX667" s="879"/>
      <c r="AY667" s="874"/>
      <c r="AZ667" s="879"/>
      <c r="BA667" s="879"/>
      <c r="BB667" s="879"/>
      <c r="BC667" s="879"/>
      <c r="BD667" s="874"/>
      <c r="BE667" s="874"/>
      <c r="BF667" s="874"/>
      <c r="BG667" s="874"/>
      <c r="BH667" s="824"/>
    </row>
    <row r="668" spans="1:60" customFormat="1" x14ac:dyDescent="0.25">
      <c r="A668" s="336" t="s">
        <v>205</v>
      </c>
      <c r="B668" s="504"/>
      <c r="C668" s="910">
        <v>108.81</v>
      </c>
      <c r="D668" s="910">
        <v>180.97300000000001</v>
      </c>
      <c r="E668" s="910">
        <v>1046.934</v>
      </c>
      <c r="F668" s="910">
        <v>1506.008</v>
      </c>
      <c r="G668" s="911">
        <v>1576.674</v>
      </c>
      <c r="H668" s="911">
        <v>1682.202</v>
      </c>
      <c r="I668" s="911">
        <v>1808.3869999999999</v>
      </c>
      <c r="J668" s="911">
        <v>2091.0709999999999</v>
      </c>
      <c r="K668" s="910">
        <v>2091.0709999999999</v>
      </c>
      <c r="L668" s="911">
        <v>2179.4740000000002</v>
      </c>
      <c r="M668" s="911">
        <v>2348.7959999999998</v>
      </c>
      <c r="N668" s="911">
        <v>2631.8820000000001</v>
      </c>
      <c r="O668" s="911">
        <v>2773.326</v>
      </c>
      <c r="P668" s="910">
        <v>2773.326</v>
      </c>
      <c r="Q668" s="911">
        <v>3312.3530000000001</v>
      </c>
      <c r="R668" s="911">
        <v>3640.7669999999998</v>
      </c>
      <c r="S668" s="911">
        <v>3891.79</v>
      </c>
      <c r="T668" s="911">
        <v>4312.817</v>
      </c>
      <c r="U668" s="910">
        <v>4312.817</v>
      </c>
      <c r="V668" s="911">
        <v>5260.16</v>
      </c>
      <c r="W668" s="911">
        <v>5742.9380000000001</v>
      </c>
      <c r="X668" s="911">
        <v>6677.674</v>
      </c>
      <c r="Y668" s="898">
        <f>Z668</f>
        <v>7274.5010000000002</v>
      </c>
      <c r="Z668" s="897">
        <v>7274.5010000000002</v>
      </c>
      <c r="AA668" s="911">
        <v>8029.1120000000001</v>
      </c>
      <c r="AB668" s="911">
        <v>9078.4740000000002</v>
      </c>
      <c r="AC668" s="911">
        <v>9739.7039999999997</v>
      </c>
      <c r="AD668" s="898">
        <f>AE668</f>
        <v>10371.055</v>
      </c>
      <c r="AE668" s="897">
        <v>10371.055</v>
      </c>
      <c r="AF668" s="911">
        <v>11314.803</v>
      </c>
      <c r="AG668" s="911">
        <v>12292.07</v>
      </c>
      <c r="AH668" s="911">
        <v>13408.442999999999</v>
      </c>
      <c r="AI668" s="898">
        <f>AJ668</f>
        <v>14960.954</v>
      </c>
      <c r="AJ668" s="897">
        <v>14960.954</v>
      </c>
      <c r="AK668" s="911">
        <f t="shared" ref="AK668:AQ668" si="671">+AK662+AK666+AK667</f>
        <v>20888.785</v>
      </c>
      <c r="AL668" s="911">
        <f t="shared" si="671"/>
        <v>21945.74</v>
      </c>
      <c r="AM668" s="911">
        <f t="shared" si="671"/>
        <v>23234.993999999999</v>
      </c>
      <c r="AN668" s="898">
        <f t="shared" si="671"/>
        <v>24504.567000000003</v>
      </c>
      <c r="AO668" s="897">
        <f t="shared" si="671"/>
        <v>24504.567000000003</v>
      </c>
      <c r="AP668" s="911">
        <f t="shared" si="671"/>
        <v>25266.888999999999</v>
      </c>
      <c r="AQ668" s="911">
        <f t="shared" si="671"/>
        <v>25155.116999999998</v>
      </c>
      <c r="AR668" s="911">
        <f>+AR662+AR666+AR667</f>
        <v>25067.633000000002</v>
      </c>
      <c r="AS668" s="898">
        <f t="shared" ref="AS668:AU668" si="672">+AS662+AS666+AS667</f>
        <v>25383.949999999997</v>
      </c>
      <c r="AT668" s="897">
        <f t="shared" si="672"/>
        <v>25383.949999999997</v>
      </c>
      <c r="AU668" s="911">
        <f t="shared" si="672"/>
        <v>26043.990999999998</v>
      </c>
      <c r="AV668" s="911">
        <f>+AV662+AV666+AV667</f>
        <v>27291.64</v>
      </c>
      <c r="AW668" s="912">
        <f>+AW662+AW666+AW667</f>
        <v>28974.044999999998</v>
      </c>
      <c r="AX668" s="898">
        <f>AW668+AX635+AX634</f>
        <v>29505.097694520548</v>
      </c>
      <c r="AY668" s="897">
        <f>AX668</f>
        <v>29505.097694520548</v>
      </c>
      <c r="AZ668" s="898">
        <f>AY668+AZ635+AZ634</f>
        <v>30376.748980060423</v>
      </c>
      <c r="BA668" s="898">
        <f>AZ668+BA635+BA634</f>
        <v>31195.928853983962</v>
      </c>
      <c r="BB668" s="898">
        <f>BA668+BB635+BB634</f>
        <v>31893.433810373164</v>
      </c>
      <c r="BC668" s="898">
        <f>BB668+BC635+BC634</f>
        <v>32517.098790009277</v>
      </c>
      <c r="BD668" s="897">
        <f>BC668</f>
        <v>32517.098790009277</v>
      </c>
      <c r="BE668" s="897">
        <f>BD668+BE635+BE634</f>
        <v>34859.917298205379</v>
      </c>
      <c r="BF668" s="897">
        <f>BE668+BF635+BF634</f>
        <v>36218.752032959121</v>
      </c>
      <c r="BG668" s="897">
        <f>BF668+BG635+BG634</f>
        <v>37006.876179116291</v>
      </c>
      <c r="BH668" s="821"/>
    </row>
    <row r="669" spans="1:60" customFormat="1" x14ac:dyDescent="0.25">
      <c r="A669" s="367" t="s">
        <v>206</v>
      </c>
      <c r="B669" s="289"/>
      <c r="C669" s="865">
        <v>131.65299999999999</v>
      </c>
      <c r="D669" s="865">
        <v>128.57</v>
      </c>
      <c r="E669" s="865">
        <v>136.35300000000001</v>
      </c>
      <c r="F669" s="865">
        <v>131.68100000000001</v>
      </c>
      <c r="G669" s="866">
        <v>129.31899999999999</v>
      </c>
      <c r="H669" s="866">
        <v>127.931</v>
      </c>
      <c r="I669" s="866">
        <v>127.26300000000001</v>
      </c>
      <c r="J669" s="866">
        <v>133.60499999999999</v>
      </c>
      <c r="K669" s="865">
        <v>133.60499999999999</v>
      </c>
      <c r="L669" s="866">
        <v>133.47300000000001</v>
      </c>
      <c r="M669" s="866">
        <v>141.715</v>
      </c>
      <c r="N669" s="866">
        <v>144.14699999999999</v>
      </c>
      <c r="O669" s="866">
        <v>149.875</v>
      </c>
      <c r="P669" s="865">
        <v>149.875</v>
      </c>
      <c r="Q669" s="866">
        <v>145.816</v>
      </c>
      <c r="R669" s="866">
        <v>171.39599999999999</v>
      </c>
      <c r="S669" s="866">
        <v>181.268</v>
      </c>
      <c r="T669" s="866">
        <v>173.41200000000001</v>
      </c>
      <c r="U669" s="865">
        <v>173.41200000000001</v>
      </c>
      <c r="V669" s="866">
        <v>166.25399999999999</v>
      </c>
      <c r="W669" s="866">
        <v>162.864</v>
      </c>
      <c r="X669" s="866">
        <v>191.876</v>
      </c>
      <c r="Y669" s="867">
        <f>Z669</f>
        <v>250.39500000000001</v>
      </c>
      <c r="Z669" s="864">
        <v>250.39500000000001</v>
      </c>
      <c r="AA669" s="866">
        <v>275.08300000000003</v>
      </c>
      <c r="AB669" s="866">
        <v>309.83100000000002</v>
      </c>
      <c r="AC669" s="866">
        <v>322.42099999999999</v>
      </c>
      <c r="AD669" s="867">
        <f>AE669</f>
        <v>319.404</v>
      </c>
      <c r="AE669" s="864">
        <v>319.404</v>
      </c>
      <c r="AF669" s="866">
        <v>341.93200000000002</v>
      </c>
      <c r="AG669" s="866">
        <v>349.64600000000002</v>
      </c>
      <c r="AH669" s="866">
        <v>371.15199999999999</v>
      </c>
      <c r="AI669" s="867">
        <f>AJ669</f>
        <v>418.28100000000001</v>
      </c>
      <c r="AJ669" s="864">
        <v>418.28100000000001</v>
      </c>
      <c r="AK669" s="866">
        <v>434.37200000000001</v>
      </c>
      <c r="AL669" s="866">
        <v>452.399</v>
      </c>
      <c r="AM669" s="866">
        <v>481.99200000000002</v>
      </c>
      <c r="AN669" s="867">
        <f>AO669</f>
        <v>565.221</v>
      </c>
      <c r="AO669" s="864">
        <v>565.221</v>
      </c>
      <c r="AP669" s="866">
        <v>650.45500000000004</v>
      </c>
      <c r="AQ669" s="866">
        <v>751.94100000000003</v>
      </c>
      <c r="AR669" s="866">
        <v>828.11800000000005</v>
      </c>
      <c r="AS669" s="867">
        <f>AT669</f>
        <v>960.18299999999999</v>
      </c>
      <c r="AT669" s="864">
        <v>960.18299999999999</v>
      </c>
      <c r="AU669" s="866">
        <v>1015.419</v>
      </c>
      <c r="AV669" s="866">
        <v>1107.4369999999999</v>
      </c>
      <c r="AW669" s="878">
        <v>1220.114</v>
      </c>
      <c r="AX669" s="867">
        <f>AW669-AX584-AX582+AX629+AX628</f>
        <v>1243.2301041095891</v>
      </c>
      <c r="AY669" s="864">
        <f>AX669</f>
        <v>1243.2301041095891</v>
      </c>
      <c r="AZ669" s="867">
        <f>AY669-AZ584-AZ582+AZ629+AZ628</f>
        <v>1275.7891285989867</v>
      </c>
      <c r="BA669" s="867">
        <f>AZ669-BA584-BA582+BA629+BA628</f>
        <v>1305.8129687235025</v>
      </c>
      <c r="BB669" s="867">
        <f>BA669-BB584-BB582+BB629+BB628</f>
        <v>1333.4029564304512</v>
      </c>
      <c r="BC669" s="867">
        <f>BB669-BC584-BC582+BC629+BC628</f>
        <v>1359.4630226272941</v>
      </c>
      <c r="BD669" s="864">
        <f>BC669</f>
        <v>1359.4630226272941</v>
      </c>
      <c r="BE669" s="864">
        <f>BD669-BE584-BE582+BE629+BE628</f>
        <v>1460.3811576492894</v>
      </c>
      <c r="BF669" s="864">
        <f>BE669-BF584-BF582+BF629+BF628</f>
        <v>1539.0973029664458</v>
      </c>
      <c r="BG669" s="864">
        <f>BF669-BG584-BG582+BG629+BG628</f>
        <v>1600.4958963138276</v>
      </c>
      <c r="BH669" s="821"/>
    </row>
    <row r="670" spans="1:60" customFormat="1" x14ac:dyDescent="0.25">
      <c r="A670" s="367" t="s">
        <v>202</v>
      </c>
      <c r="B670" s="289"/>
      <c r="C670" s="865">
        <v>15.958</v>
      </c>
      <c r="D670" s="865">
        <v>0</v>
      </c>
      <c r="E670" s="865">
        <v>0</v>
      </c>
      <c r="F670" s="865">
        <v>0</v>
      </c>
      <c r="G670" s="866">
        <v>0</v>
      </c>
      <c r="H670" s="866">
        <v>0</v>
      </c>
      <c r="I670" s="866">
        <v>0</v>
      </c>
      <c r="J670" s="866">
        <v>0</v>
      </c>
      <c r="K670" s="865">
        <v>0</v>
      </c>
      <c r="L670" s="866">
        <v>0</v>
      </c>
      <c r="M670" s="866">
        <v>0</v>
      </c>
      <c r="N670" s="866">
        <v>0</v>
      </c>
      <c r="O670" s="866">
        <v>0</v>
      </c>
      <c r="P670" s="865">
        <v>0</v>
      </c>
      <c r="Q670" s="866">
        <v>0</v>
      </c>
      <c r="R670" s="866">
        <v>0</v>
      </c>
      <c r="S670" s="866">
        <v>0</v>
      </c>
      <c r="T670" s="866">
        <v>0</v>
      </c>
      <c r="U670" s="865">
        <v>0</v>
      </c>
      <c r="V670" s="867"/>
      <c r="W670" s="867"/>
      <c r="X670" s="867"/>
      <c r="Y670" s="867">
        <f>Z670</f>
        <v>0</v>
      </c>
      <c r="Z670" s="864"/>
      <c r="AA670" s="867"/>
      <c r="AB670" s="867"/>
      <c r="AC670" s="867"/>
      <c r="AD670" s="867">
        <f>AE670</f>
        <v>0</v>
      </c>
      <c r="AE670" s="864"/>
      <c r="AF670" s="867"/>
      <c r="AG670" s="867"/>
      <c r="AH670" s="867"/>
      <c r="AI670" s="867">
        <f>AJ670</f>
        <v>0</v>
      </c>
      <c r="AJ670" s="864"/>
      <c r="AK670" s="867"/>
      <c r="AL670" s="867"/>
      <c r="AM670" s="867"/>
      <c r="AN670" s="867">
        <f>AO670</f>
        <v>0</v>
      </c>
      <c r="AO670" s="864"/>
      <c r="AP670" s="867"/>
      <c r="AQ670" s="867"/>
      <c r="AR670" s="867"/>
      <c r="AS670" s="867">
        <f>AT670</f>
        <v>0</v>
      </c>
      <c r="AT670" s="864"/>
      <c r="AU670" s="867"/>
      <c r="AV670" s="867"/>
      <c r="AW670" s="868"/>
      <c r="AX670" s="867">
        <f>AW670-AX566</f>
        <v>25.025077093113442</v>
      </c>
      <c r="AY670" s="864">
        <f>AX670</f>
        <v>25.025077093113442</v>
      </c>
      <c r="AZ670" s="867">
        <f ca="1">AY670-AZ566</f>
        <v>126.13534950433423</v>
      </c>
      <c r="BA670" s="867">
        <f ca="1">AZ670-BA566</f>
        <v>224.97295417107631</v>
      </c>
      <c r="BB670" s="867">
        <f ca="1">BA670-BB566</f>
        <v>324.18062511718961</v>
      </c>
      <c r="BC670" s="867">
        <f ca="1">BB670-BC566</f>
        <v>389.88344986454706</v>
      </c>
      <c r="BD670" s="864">
        <f ca="1">BC670</f>
        <v>389.88344986454706</v>
      </c>
      <c r="BE670" s="864">
        <f ca="1">BD670-BE566</f>
        <v>864.95674139507742</v>
      </c>
      <c r="BF670" s="864">
        <f ca="1">BE670-BF566</f>
        <v>1466.4564089522291</v>
      </c>
      <c r="BG670" s="864">
        <f ca="1">BF670-BG566</f>
        <v>2245.1214028021768</v>
      </c>
      <c r="BH670" s="821"/>
    </row>
    <row r="671" spans="1:60" customFormat="1" x14ac:dyDescent="0.25">
      <c r="A671" s="178" t="s">
        <v>504</v>
      </c>
      <c r="B671" s="289"/>
      <c r="C671" s="864"/>
      <c r="D671" s="864"/>
      <c r="E671" s="864"/>
      <c r="F671" s="864"/>
      <c r="G671" s="867"/>
      <c r="H671" s="867"/>
      <c r="I671" s="867"/>
      <c r="J671" s="867"/>
      <c r="K671" s="864"/>
      <c r="L671" s="867"/>
      <c r="M671" s="867"/>
      <c r="N671" s="867"/>
      <c r="O671" s="867"/>
      <c r="P671" s="864"/>
      <c r="Q671" s="867"/>
      <c r="R671" s="867"/>
      <c r="S671" s="867"/>
      <c r="T671" s="867"/>
      <c r="U671" s="864"/>
      <c r="V671" s="867"/>
      <c r="W671" s="867"/>
      <c r="X671" s="867"/>
      <c r="Y671" s="867"/>
      <c r="Z671" s="864"/>
      <c r="AA671" s="867"/>
      <c r="AB671" s="867"/>
      <c r="AC671" s="867"/>
      <c r="AD671" s="867">
        <f>AE671</f>
        <v>4.4000000000000004</v>
      </c>
      <c r="AE671" s="864">
        <v>4.4000000000000004</v>
      </c>
      <c r="AF671" s="867">
        <f>4.531+1.28</f>
        <v>5.8109999999999999</v>
      </c>
      <c r="AG671" s="867">
        <f>6.351+1.286</f>
        <v>7.6370000000000005</v>
      </c>
      <c r="AH671" s="867">
        <f>9.739+1.291</f>
        <v>11.030000000000001</v>
      </c>
      <c r="AI671" s="867">
        <f>AJ671</f>
        <v>17.558</v>
      </c>
      <c r="AJ671" s="864">
        <v>17.558</v>
      </c>
      <c r="AK671" s="867">
        <v>21.54</v>
      </c>
      <c r="AL671" s="867">
        <v>23.957999999999998</v>
      </c>
      <c r="AM671" s="867">
        <v>24.702999999999999</v>
      </c>
      <c r="AN671" s="867">
        <f>AO671</f>
        <v>23.486000000000001</v>
      </c>
      <c r="AO671" s="864">
        <v>23.486000000000001</v>
      </c>
      <c r="AP671" s="867">
        <v>23.789000000000001</v>
      </c>
      <c r="AQ671" s="867">
        <v>24.315000000000001</v>
      </c>
      <c r="AR671" s="867">
        <v>27.128</v>
      </c>
      <c r="AS671" s="866">
        <f>AT671</f>
        <v>31.536999999999999</v>
      </c>
      <c r="AT671" s="865">
        <v>31.536999999999999</v>
      </c>
      <c r="AU671" s="866">
        <v>30.588999999999999</v>
      </c>
      <c r="AV671" s="867">
        <v>24.399000000000001</v>
      </c>
      <c r="AW671" s="878">
        <v>24.306999999999999</v>
      </c>
      <c r="AX671" s="867">
        <f>AW671</f>
        <v>24.306999999999999</v>
      </c>
      <c r="AY671" s="864">
        <f>AX671</f>
        <v>24.306999999999999</v>
      </c>
      <c r="AZ671" s="867">
        <f t="shared" ref="AZ671:BC672" si="673">AY671</f>
        <v>24.306999999999999</v>
      </c>
      <c r="BA671" s="867">
        <f t="shared" si="673"/>
        <v>24.306999999999999</v>
      </c>
      <c r="BB671" s="867">
        <f t="shared" si="673"/>
        <v>24.306999999999999</v>
      </c>
      <c r="BC671" s="867">
        <f t="shared" si="673"/>
        <v>24.306999999999999</v>
      </c>
      <c r="BD671" s="864">
        <f>BC671</f>
        <v>24.306999999999999</v>
      </c>
      <c r="BE671" s="864">
        <f t="shared" ref="BE671:BG672" si="674">BD671</f>
        <v>24.306999999999999</v>
      </c>
      <c r="BF671" s="864">
        <f t="shared" si="674"/>
        <v>24.306999999999999</v>
      </c>
      <c r="BG671" s="864">
        <f t="shared" si="674"/>
        <v>24.306999999999999</v>
      </c>
      <c r="BH671" s="821"/>
    </row>
    <row r="672" spans="1:60" customFormat="1" x14ac:dyDescent="0.25">
      <c r="A672" s="113" t="s">
        <v>207</v>
      </c>
      <c r="B672" s="441"/>
      <c r="C672" s="886">
        <v>12.3</v>
      </c>
      <c r="D672" s="886">
        <v>35.292999999999999</v>
      </c>
      <c r="E672" s="886">
        <v>55.052</v>
      </c>
      <c r="F672" s="886">
        <v>89.41</v>
      </c>
      <c r="G672" s="885">
        <v>100.196</v>
      </c>
      <c r="H672" s="885">
        <v>100.29600000000001</v>
      </c>
      <c r="I672" s="885">
        <v>116.39700000000001</v>
      </c>
      <c r="J672" s="885">
        <v>129.124</v>
      </c>
      <c r="K672" s="886">
        <v>129.124</v>
      </c>
      <c r="L672" s="885">
        <v>148.375</v>
      </c>
      <c r="M672" s="885">
        <v>166.93100000000001</v>
      </c>
      <c r="N672" s="885">
        <v>178.81800000000001</v>
      </c>
      <c r="O672" s="885">
        <v>192.98099999999999</v>
      </c>
      <c r="P672" s="886">
        <v>192.98099999999999</v>
      </c>
      <c r="Q672" s="885">
        <v>243.40100000000001</v>
      </c>
      <c r="R672" s="885">
        <v>242.18799999999999</v>
      </c>
      <c r="S672" s="885">
        <v>273.49599999999998</v>
      </c>
      <c r="T672" s="885">
        <v>284.80200000000002</v>
      </c>
      <c r="U672" s="886">
        <v>284.80200000000002</v>
      </c>
      <c r="V672" s="885">
        <v>292.024</v>
      </c>
      <c r="W672" s="885">
        <v>300.78699999999998</v>
      </c>
      <c r="X672" s="885">
        <v>283.89499999999998</v>
      </c>
      <c r="Y672" s="882">
        <f>Z672</f>
        <v>341.423</v>
      </c>
      <c r="Z672" s="881">
        <v>341.423</v>
      </c>
      <c r="AA672" s="885">
        <v>394.57100000000003</v>
      </c>
      <c r="AB672" s="885">
        <v>428.13299999999998</v>
      </c>
      <c r="AC672" s="885">
        <v>504.06700000000001</v>
      </c>
      <c r="AD672" s="882">
        <f>AE672</f>
        <v>647.90899999999999</v>
      </c>
      <c r="AE672" s="881">
        <f>652.309-AE671</f>
        <v>647.90899999999999</v>
      </c>
      <c r="AF672" s="885">
        <f>678.486-AF671</f>
        <v>672.67499999999995</v>
      </c>
      <c r="AG672" s="885">
        <f>674.932-AG671</f>
        <v>667.29500000000007</v>
      </c>
      <c r="AH672" s="885">
        <f>856.653-AH671</f>
        <v>845.62300000000005</v>
      </c>
      <c r="AI672" s="882">
        <f>AJ672</f>
        <v>883.47199999999998</v>
      </c>
      <c r="AJ672" s="881">
        <f>901.03-AJ671</f>
        <v>883.47199999999998</v>
      </c>
      <c r="AK672" s="885">
        <f>1726.568-AK671</f>
        <v>1705.028</v>
      </c>
      <c r="AL672" s="885">
        <f>1896.043-AL671</f>
        <v>1872.0849999999998</v>
      </c>
      <c r="AM672" s="885">
        <f>1896.967-AM671</f>
        <v>1872.2640000000001</v>
      </c>
      <c r="AN672" s="882">
        <f>AO672</f>
        <v>2703.9340000000002</v>
      </c>
      <c r="AO672" s="881">
        <f>2727.42-AO671</f>
        <v>2703.9340000000002</v>
      </c>
      <c r="AP672" s="885">
        <f>2694.785-AP671</f>
        <v>2670.9959999999996</v>
      </c>
      <c r="AQ672" s="885">
        <f>2704.084-AQ671</f>
        <v>2679.7689999999998</v>
      </c>
      <c r="AR672" s="885">
        <f>2900.312-AR671</f>
        <v>2873.1839999999997</v>
      </c>
      <c r="AS672" s="882">
        <f>AT672</f>
        <v>3143.1090000000004</v>
      </c>
      <c r="AT672" s="881">
        <f>3174.646-AT671</f>
        <v>3143.1090000000004</v>
      </c>
      <c r="AU672" s="885">
        <f>2956.096-AU671</f>
        <v>2925.5070000000001</v>
      </c>
      <c r="AV672" s="885">
        <f>2967.616-AV671</f>
        <v>2943.2170000000001</v>
      </c>
      <c r="AW672" s="891">
        <f>3129.911-AW671</f>
        <v>3105.6040000000003</v>
      </c>
      <c r="AX672" s="882">
        <f>AW672</f>
        <v>3105.6040000000003</v>
      </c>
      <c r="AY672" s="881">
        <f>AX672</f>
        <v>3105.6040000000003</v>
      </c>
      <c r="AZ672" s="882">
        <f t="shared" si="673"/>
        <v>3105.6040000000003</v>
      </c>
      <c r="BA672" s="882">
        <f t="shared" si="673"/>
        <v>3105.6040000000003</v>
      </c>
      <c r="BB672" s="882">
        <f t="shared" si="673"/>
        <v>3105.6040000000003</v>
      </c>
      <c r="BC672" s="882">
        <f t="shared" si="673"/>
        <v>3105.6040000000003</v>
      </c>
      <c r="BD672" s="881">
        <f>BC672</f>
        <v>3105.6040000000003</v>
      </c>
      <c r="BE672" s="881">
        <f t="shared" si="674"/>
        <v>3105.6040000000003</v>
      </c>
      <c r="BF672" s="881">
        <f t="shared" si="674"/>
        <v>3105.6040000000003</v>
      </c>
      <c r="BG672" s="881">
        <f t="shared" si="674"/>
        <v>3105.6040000000003</v>
      </c>
      <c r="BH672" s="821"/>
    </row>
    <row r="673" spans="1:60" customFormat="1" x14ac:dyDescent="0.25">
      <c r="A673" s="61" t="s">
        <v>208</v>
      </c>
      <c r="B673" s="505"/>
      <c r="C673" s="872">
        <f t="shared" ref="C673:AH673" si="675">SUM(C668:C672)</f>
        <v>268.721</v>
      </c>
      <c r="D673" s="872">
        <f t="shared" si="675"/>
        <v>344.83600000000001</v>
      </c>
      <c r="E673" s="872">
        <f t="shared" si="675"/>
        <v>1238.3389999999999</v>
      </c>
      <c r="F673" s="872">
        <f t="shared" si="675"/>
        <v>1727.0990000000002</v>
      </c>
      <c r="G673" s="871">
        <f t="shared" si="675"/>
        <v>1806.1889999999999</v>
      </c>
      <c r="H673" s="871">
        <f t="shared" si="675"/>
        <v>1910.4290000000001</v>
      </c>
      <c r="I673" s="871">
        <f t="shared" si="675"/>
        <v>2052.047</v>
      </c>
      <c r="J673" s="871">
        <f t="shared" si="675"/>
        <v>2353.7999999999997</v>
      </c>
      <c r="K673" s="872">
        <f t="shared" si="675"/>
        <v>2353.7999999999997</v>
      </c>
      <c r="L673" s="871">
        <f t="shared" si="675"/>
        <v>2461.3220000000001</v>
      </c>
      <c r="M673" s="871">
        <f t="shared" si="675"/>
        <v>2657.442</v>
      </c>
      <c r="N673" s="871">
        <f t="shared" si="675"/>
        <v>2954.8470000000002</v>
      </c>
      <c r="O673" s="871">
        <f t="shared" si="675"/>
        <v>3116.1819999999998</v>
      </c>
      <c r="P673" s="872">
        <f t="shared" si="675"/>
        <v>3116.1819999999998</v>
      </c>
      <c r="Q673" s="871">
        <f t="shared" si="675"/>
        <v>3701.5699999999997</v>
      </c>
      <c r="R673" s="871">
        <f t="shared" si="675"/>
        <v>4054.3510000000001</v>
      </c>
      <c r="S673" s="871">
        <f t="shared" si="675"/>
        <v>4346.5540000000001</v>
      </c>
      <c r="T673" s="871">
        <f t="shared" si="675"/>
        <v>4771.0309999999999</v>
      </c>
      <c r="U673" s="872">
        <f t="shared" si="675"/>
        <v>4771.0309999999999</v>
      </c>
      <c r="V673" s="871">
        <f t="shared" si="675"/>
        <v>5718.4380000000001</v>
      </c>
      <c r="W673" s="871">
        <f t="shared" si="675"/>
        <v>6206.5889999999999</v>
      </c>
      <c r="X673" s="871">
        <f t="shared" si="675"/>
        <v>7153.4449999999997</v>
      </c>
      <c r="Y673" s="870">
        <f t="shared" si="675"/>
        <v>7866.3190000000004</v>
      </c>
      <c r="Z673" s="869">
        <f t="shared" si="675"/>
        <v>7866.3190000000004</v>
      </c>
      <c r="AA673" s="871">
        <f t="shared" si="675"/>
        <v>8698.7659999999996</v>
      </c>
      <c r="AB673" s="871">
        <f t="shared" si="675"/>
        <v>9816.4380000000001</v>
      </c>
      <c r="AC673" s="871">
        <f t="shared" si="675"/>
        <v>10566.191999999999</v>
      </c>
      <c r="AD673" s="870">
        <f t="shared" si="675"/>
        <v>11342.768</v>
      </c>
      <c r="AE673" s="869">
        <f t="shared" si="675"/>
        <v>11342.768</v>
      </c>
      <c r="AF673" s="871">
        <f t="shared" si="675"/>
        <v>12335.221</v>
      </c>
      <c r="AG673" s="871">
        <f t="shared" si="675"/>
        <v>13316.648000000001</v>
      </c>
      <c r="AH673" s="871">
        <f t="shared" si="675"/>
        <v>14636.248</v>
      </c>
      <c r="AI673" s="870">
        <f t="shared" ref="AI673:AY673" si="676">SUM(AI668:AI672)</f>
        <v>16280.265000000001</v>
      </c>
      <c r="AJ673" s="869">
        <f t="shared" si="676"/>
        <v>16280.265000000001</v>
      </c>
      <c r="AK673" s="871">
        <f t="shared" si="676"/>
        <v>23049.724999999999</v>
      </c>
      <c r="AL673" s="871">
        <f t="shared" si="676"/>
        <v>24294.182000000001</v>
      </c>
      <c r="AM673" s="871">
        <f t="shared" si="676"/>
        <v>25613.952999999998</v>
      </c>
      <c r="AN673" s="870">
        <f t="shared" si="676"/>
        <v>27797.208000000006</v>
      </c>
      <c r="AO673" s="869">
        <f t="shared" si="676"/>
        <v>27797.208000000006</v>
      </c>
      <c r="AP673" s="871">
        <f t="shared" si="676"/>
        <v>28612.129000000001</v>
      </c>
      <c r="AQ673" s="871">
        <f t="shared" si="676"/>
        <v>28611.141999999996</v>
      </c>
      <c r="AR673" s="871">
        <f>SUM(AR668:AR672)</f>
        <v>28796.063000000002</v>
      </c>
      <c r="AS673" s="870">
        <f>SUM(AS668:AS672)</f>
        <v>29518.778999999999</v>
      </c>
      <c r="AT673" s="869">
        <f>SUM(AT668:AT672)</f>
        <v>29518.778999999999</v>
      </c>
      <c r="AU673" s="871">
        <f t="shared" ref="AU673" si="677">SUM(AU668:AU672)</f>
        <v>30015.506000000001</v>
      </c>
      <c r="AV673" s="871">
        <f>SUM(AV668:AV672)</f>
        <v>31366.692999999999</v>
      </c>
      <c r="AW673" s="873">
        <f>SUM(AW668:AW672)</f>
        <v>33324.07</v>
      </c>
      <c r="AX673" s="870">
        <f t="shared" si="676"/>
        <v>33903.263875723249</v>
      </c>
      <c r="AY673" s="869">
        <f t="shared" si="676"/>
        <v>33903.263875723249</v>
      </c>
      <c r="AZ673" s="870">
        <f t="shared" ref="AZ673:BG673" ca="1" si="678">SUM(AZ668:AZ672)</f>
        <v>34908.584458163743</v>
      </c>
      <c r="BA673" s="870">
        <f t="shared" ca="1" si="678"/>
        <v>35856.625776878544</v>
      </c>
      <c r="BB673" s="870">
        <f t="shared" ca="1" si="678"/>
        <v>36680.928391920803</v>
      </c>
      <c r="BC673" s="870">
        <f t="shared" ca="1" si="678"/>
        <v>37396.356262501118</v>
      </c>
      <c r="BD673" s="869">
        <f t="shared" ca="1" si="678"/>
        <v>37396.356262501118</v>
      </c>
      <c r="BE673" s="869">
        <f t="shared" ca="1" si="678"/>
        <v>40315.166197249746</v>
      </c>
      <c r="BF673" s="869">
        <f t="shared" ca="1" si="678"/>
        <v>42354.216744877798</v>
      </c>
      <c r="BG673" s="869">
        <f t="shared" ca="1" si="678"/>
        <v>43982.404478232296</v>
      </c>
      <c r="BH673" s="824"/>
    </row>
    <row r="674" spans="1:60" customFormat="1" x14ac:dyDescent="0.25">
      <c r="A674" s="63" t="s">
        <v>209</v>
      </c>
      <c r="B674" s="423"/>
      <c r="C674" s="875">
        <f t="shared" ref="C674:AH674" si="679">C659+C673</f>
        <v>679.73399999999992</v>
      </c>
      <c r="D674" s="875">
        <f t="shared" si="679"/>
        <v>982.06700000000001</v>
      </c>
      <c r="E674" s="875">
        <f t="shared" si="679"/>
        <v>3069.1959999999999</v>
      </c>
      <c r="F674" s="875">
        <f t="shared" si="679"/>
        <v>3967.89</v>
      </c>
      <c r="G674" s="876">
        <f t="shared" si="679"/>
        <v>4363.2890000000007</v>
      </c>
      <c r="H674" s="876">
        <f t="shared" si="679"/>
        <v>4480.7510000000002</v>
      </c>
      <c r="I674" s="876">
        <f t="shared" si="679"/>
        <v>4901.3250000000007</v>
      </c>
      <c r="J674" s="876">
        <f t="shared" si="679"/>
        <v>5412.5630000000001</v>
      </c>
      <c r="K674" s="875">
        <f t="shared" si="679"/>
        <v>5412.5630000000001</v>
      </c>
      <c r="L674" s="876">
        <f t="shared" si="679"/>
        <v>6048.1059999999998</v>
      </c>
      <c r="M674" s="876">
        <f t="shared" si="679"/>
        <v>6325.8220000000001</v>
      </c>
      <c r="N674" s="876">
        <f t="shared" si="679"/>
        <v>6778.3289999999997</v>
      </c>
      <c r="O674" s="876">
        <f t="shared" si="679"/>
        <v>7056.6509999999998</v>
      </c>
      <c r="P674" s="875">
        <f t="shared" si="679"/>
        <v>7056.6509999999998</v>
      </c>
      <c r="Q674" s="876">
        <f t="shared" si="679"/>
        <v>9240.6260000000002</v>
      </c>
      <c r="R674" s="876">
        <f t="shared" si="679"/>
        <v>9654.860999999999</v>
      </c>
      <c r="S674" s="876">
        <f t="shared" si="679"/>
        <v>9916.2669999999998</v>
      </c>
      <c r="T674" s="876">
        <f t="shared" si="679"/>
        <v>10202.870999999999</v>
      </c>
      <c r="U674" s="875">
        <f t="shared" si="679"/>
        <v>10202.870999999999</v>
      </c>
      <c r="V674" s="876">
        <f t="shared" si="679"/>
        <v>11262.274000000001</v>
      </c>
      <c r="W674" s="876">
        <f t="shared" si="679"/>
        <v>11593.507</v>
      </c>
      <c r="X674" s="876">
        <f t="shared" si="679"/>
        <v>12347.338</v>
      </c>
      <c r="Y674" s="879">
        <f t="shared" si="679"/>
        <v>13586.61</v>
      </c>
      <c r="Z674" s="874">
        <f t="shared" si="679"/>
        <v>13586.61</v>
      </c>
      <c r="AA674" s="876">
        <f t="shared" si="679"/>
        <v>14359.096</v>
      </c>
      <c r="AB674" s="876">
        <f t="shared" si="679"/>
        <v>16517.222999999998</v>
      </c>
      <c r="AC674" s="876">
        <f t="shared" si="679"/>
        <v>16951.54</v>
      </c>
      <c r="AD674" s="879">
        <f t="shared" si="679"/>
        <v>19012.741999999998</v>
      </c>
      <c r="AE674" s="874">
        <f t="shared" si="679"/>
        <v>19012.741999999998</v>
      </c>
      <c r="AF674" s="876">
        <f t="shared" si="679"/>
        <v>20152.796999999999</v>
      </c>
      <c r="AG674" s="876">
        <f t="shared" si="679"/>
        <v>22663.537000000004</v>
      </c>
      <c r="AH674" s="876">
        <f t="shared" si="679"/>
        <v>23366.228999999999</v>
      </c>
      <c r="AI674" s="879">
        <f t="shared" ref="AI674:AY674" si="680">AI659+AI673</f>
        <v>25974.400000000001</v>
      </c>
      <c r="AJ674" s="874">
        <f t="shared" si="680"/>
        <v>25974.400000000001</v>
      </c>
      <c r="AK674" s="876">
        <f t="shared" si="680"/>
        <v>27218.631999999998</v>
      </c>
      <c r="AL674" s="876">
        <f t="shared" si="680"/>
        <v>30171.339</v>
      </c>
      <c r="AM674" s="876">
        <f t="shared" si="680"/>
        <v>30941.710999999996</v>
      </c>
      <c r="AN674" s="879">
        <f t="shared" si="680"/>
        <v>33975.712000000007</v>
      </c>
      <c r="AO674" s="874">
        <f t="shared" si="680"/>
        <v>33975.712000000007</v>
      </c>
      <c r="AP674" s="876">
        <f t="shared" si="680"/>
        <v>35059.910000000003</v>
      </c>
      <c r="AQ674" s="876">
        <f t="shared" si="680"/>
        <v>37175.280999999995</v>
      </c>
      <c r="AR674" s="876">
        <f>AR659+AR673</f>
        <v>38622.543000000005</v>
      </c>
      <c r="AS674" s="879">
        <f>AS659+AS673</f>
        <v>39280.358999999997</v>
      </c>
      <c r="AT674" s="874">
        <f>AT659+AT673</f>
        <v>39280.358999999997</v>
      </c>
      <c r="AU674" s="876">
        <f t="shared" ref="AU674" si="681">AU659+AU673</f>
        <v>40123.014000000003</v>
      </c>
      <c r="AV674" s="876">
        <f>AV659+AV673</f>
        <v>40970.968999999997</v>
      </c>
      <c r="AW674" s="877">
        <f>AW659+AW673</f>
        <v>42739.856999999996</v>
      </c>
      <c r="AX674" s="879">
        <f t="shared" ca="1" si="680"/>
        <v>43670.831139416754</v>
      </c>
      <c r="AY674" s="874">
        <f t="shared" ca="1" si="680"/>
        <v>43670.831139416754</v>
      </c>
      <c r="AZ674" s="879">
        <f t="shared" ref="AZ674:BG674" ca="1" si="682">AZ659+AZ673</f>
        <v>45725.565413142569</v>
      </c>
      <c r="BA674" s="879">
        <f t="shared" ca="1" si="682"/>
        <v>47647.139921056187</v>
      </c>
      <c r="BB674" s="879">
        <f t="shared" ca="1" si="682"/>
        <v>49985.403143359938</v>
      </c>
      <c r="BC674" s="879">
        <f t="shared" ca="1" si="682"/>
        <v>51640.84754958337</v>
      </c>
      <c r="BD674" s="874">
        <f t="shared" ca="1" si="682"/>
        <v>51640.84754958337</v>
      </c>
      <c r="BE674" s="874">
        <f t="shared" ca="1" si="682"/>
        <v>61521.40650952646</v>
      </c>
      <c r="BF674" s="874">
        <f t="shared" ca="1" si="682"/>
        <v>73623.459027377146</v>
      </c>
      <c r="BG674" s="874">
        <f t="shared" ca="1" si="682"/>
        <v>88770.083171621809</v>
      </c>
      <c r="BH674" s="824"/>
    </row>
    <row r="675" spans="1:60" customFormat="1" x14ac:dyDescent="0.25">
      <c r="A675" s="494"/>
      <c r="B675" s="423"/>
      <c r="C675" s="874"/>
      <c r="D675" s="874"/>
      <c r="E675" s="874"/>
      <c r="F675" s="874"/>
      <c r="G675" s="879"/>
      <c r="H675" s="879"/>
      <c r="I675" s="879"/>
      <c r="J675" s="879"/>
      <c r="K675" s="874"/>
      <c r="L675" s="879"/>
      <c r="M675" s="879"/>
      <c r="N675" s="879"/>
      <c r="O675" s="879"/>
      <c r="P675" s="874"/>
      <c r="Q675" s="879"/>
      <c r="R675" s="879"/>
      <c r="S675" s="879"/>
      <c r="T675" s="879"/>
      <c r="U675" s="874"/>
      <c r="V675" s="879"/>
      <c r="W675" s="879"/>
      <c r="X675" s="879"/>
      <c r="Y675" s="879"/>
      <c r="Z675" s="874"/>
      <c r="AA675" s="879"/>
      <c r="AB675" s="879"/>
      <c r="AC675" s="879"/>
      <c r="AD675" s="879"/>
      <c r="AE675" s="874"/>
      <c r="AF675" s="879"/>
      <c r="AG675" s="879"/>
      <c r="AH675" s="879"/>
      <c r="AI675" s="879"/>
      <c r="AJ675" s="874"/>
      <c r="AK675" s="879"/>
      <c r="AL675" s="879"/>
      <c r="AM675" s="879"/>
      <c r="AN675" s="879"/>
      <c r="AO675" s="874"/>
      <c r="AP675" s="879"/>
      <c r="AQ675" s="879"/>
      <c r="AR675" s="879"/>
      <c r="AS675" s="879"/>
      <c r="AT675" s="874"/>
      <c r="AU675" s="879"/>
      <c r="AV675" s="879"/>
      <c r="AW675" s="880"/>
      <c r="AX675" s="879"/>
      <c r="AY675" s="874"/>
      <c r="AZ675" s="879"/>
      <c r="BA675" s="879"/>
      <c r="BB675" s="879"/>
      <c r="BC675" s="879"/>
      <c r="BD675" s="874"/>
      <c r="BE675" s="874"/>
      <c r="BF675" s="874"/>
      <c r="BG675" s="874"/>
      <c r="BH675" s="824"/>
    </row>
    <row r="676" spans="1:60" customFormat="1" x14ac:dyDescent="0.25">
      <c r="A676" s="63" t="s">
        <v>210</v>
      </c>
      <c r="B676" s="423"/>
      <c r="C676" s="874"/>
      <c r="D676" s="874"/>
      <c r="E676" s="874"/>
      <c r="F676" s="874"/>
      <c r="G676" s="879"/>
      <c r="H676" s="879"/>
      <c r="I676" s="879"/>
      <c r="J676" s="879"/>
      <c r="K676" s="874"/>
      <c r="L676" s="879"/>
      <c r="M676" s="879"/>
      <c r="N676" s="879"/>
      <c r="O676" s="879"/>
      <c r="P676" s="874"/>
      <c r="Q676" s="879"/>
      <c r="R676" s="879"/>
      <c r="S676" s="879"/>
      <c r="T676" s="879"/>
      <c r="U676" s="874"/>
      <c r="V676" s="879"/>
      <c r="W676" s="879"/>
      <c r="X676" s="879"/>
      <c r="Y676" s="879"/>
      <c r="Z676" s="874"/>
      <c r="AA676" s="879"/>
      <c r="AB676" s="879"/>
      <c r="AC676" s="879"/>
      <c r="AD676" s="879"/>
      <c r="AE676" s="874"/>
      <c r="AF676" s="879"/>
      <c r="AG676" s="879"/>
      <c r="AH676" s="879"/>
      <c r="AI676" s="879"/>
      <c r="AJ676" s="874"/>
      <c r="AK676" s="879"/>
      <c r="AL676" s="879"/>
      <c r="AM676" s="879"/>
      <c r="AN676" s="879"/>
      <c r="AO676" s="874"/>
      <c r="AP676" s="879"/>
      <c r="AQ676" s="879"/>
      <c r="AR676" s="879"/>
      <c r="AS676" s="879"/>
      <c r="AT676" s="874"/>
      <c r="AU676" s="879"/>
      <c r="AV676" s="879"/>
      <c r="AW676" s="880"/>
      <c r="AX676" s="879"/>
      <c r="AY676" s="874"/>
      <c r="AZ676" s="879"/>
      <c r="BA676" s="879"/>
      <c r="BB676" s="879"/>
      <c r="BC676" s="879"/>
      <c r="BD676" s="874"/>
      <c r="BE676" s="874"/>
      <c r="BF676" s="874"/>
      <c r="BG676" s="874"/>
      <c r="BH676" s="824"/>
    </row>
    <row r="677" spans="1:60" customFormat="1" x14ac:dyDescent="0.25">
      <c r="A677" s="367" t="s">
        <v>211</v>
      </c>
      <c r="B677" s="289"/>
      <c r="C677" s="865">
        <v>0</v>
      </c>
      <c r="D677" s="865">
        <v>168.69499999999999</v>
      </c>
      <c r="E677" s="865">
        <v>935.03599999999994</v>
      </c>
      <c r="F677" s="865">
        <v>1366.847</v>
      </c>
      <c r="G677" s="866">
        <v>1355.01</v>
      </c>
      <c r="H677" s="866">
        <v>1321.2170000000001</v>
      </c>
      <c r="I677" s="866">
        <v>1591.981</v>
      </c>
      <c r="J677" s="866">
        <v>1775.9829999999999</v>
      </c>
      <c r="K677" s="865">
        <v>1775.9829999999999</v>
      </c>
      <c r="L677" s="866">
        <v>1844.8969999999999</v>
      </c>
      <c r="M677" s="866">
        <v>1858.02</v>
      </c>
      <c r="N677" s="866">
        <v>2074.7660000000001</v>
      </c>
      <c r="O677" s="866">
        <v>2117.241</v>
      </c>
      <c r="P677" s="865">
        <v>2117.241</v>
      </c>
      <c r="Q677" s="866">
        <v>2425.6190000000001</v>
      </c>
      <c r="R677" s="866">
        <v>2556.1799999999998</v>
      </c>
      <c r="S677" s="866">
        <v>2622.9639999999999</v>
      </c>
      <c r="T677" s="866">
        <v>2789.0230000000001</v>
      </c>
      <c r="U677" s="865">
        <v>2789.0230000000001</v>
      </c>
      <c r="V677" s="866">
        <v>3145.8609999999999</v>
      </c>
      <c r="W677" s="866">
        <v>3242.33</v>
      </c>
      <c r="X677" s="866">
        <v>3497.2139999999999</v>
      </c>
      <c r="Y677" s="867">
        <f>Z677</f>
        <v>3632.7109999999998</v>
      </c>
      <c r="Z677" s="864">
        <v>3632.7109999999998</v>
      </c>
      <c r="AA677" s="866">
        <v>3861.4470000000001</v>
      </c>
      <c r="AB677" s="866">
        <v>4095.3739999999998</v>
      </c>
      <c r="AC677" s="866">
        <v>4142.0860000000002</v>
      </c>
      <c r="AD677" s="867">
        <f>AE677</f>
        <v>4173.0410000000002</v>
      </c>
      <c r="AE677" s="864">
        <v>4173.0410000000002</v>
      </c>
      <c r="AF677" s="866">
        <v>4466.0810000000001</v>
      </c>
      <c r="AG677" s="866">
        <v>4541.0870000000004</v>
      </c>
      <c r="AH677" s="866">
        <v>4613.0110000000004</v>
      </c>
      <c r="AI677" s="867">
        <f>AJ677</f>
        <v>4686.0190000000002</v>
      </c>
      <c r="AJ677" s="864">
        <v>4686.0190000000002</v>
      </c>
      <c r="AK677" s="866">
        <v>4863.3509999999997</v>
      </c>
      <c r="AL677" s="866">
        <v>4848.201</v>
      </c>
      <c r="AM677" s="866">
        <v>4860.5420000000004</v>
      </c>
      <c r="AN677" s="867">
        <f>AO677</f>
        <v>4413.5609999999997</v>
      </c>
      <c r="AO677" s="864">
        <v>4413.5609999999997</v>
      </c>
      <c r="AP677" s="866">
        <v>4761.585</v>
      </c>
      <c r="AQ677" s="866">
        <v>4664.7330000000002</v>
      </c>
      <c r="AR677" s="866">
        <v>4599.6540000000005</v>
      </c>
      <c r="AS677" s="867">
        <f>AT677</f>
        <v>4429.5360000000001</v>
      </c>
      <c r="AT677" s="864">
        <v>4429.5360000000001</v>
      </c>
      <c r="AU677" s="866">
        <v>4297.9570000000003</v>
      </c>
      <c r="AV677" s="866">
        <v>4197.8739999999998</v>
      </c>
      <c r="AW677" s="878">
        <v>4110.9620000000004</v>
      </c>
      <c r="AX677" s="867">
        <f>AW677</f>
        <v>4110.9620000000004</v>
      </c>
      <c r="AY677" s="864">
        <f>AX677</f>
        <v>4110.9620000000004</v>
      </c>
      <c r="AZ677" s="867">
        <f t="shared" ref="AZ677:BG677" si="683">AY677</f>
        <v>4110.9620000000004</v>
      </c>
      <c r="BA677" s="867">
        <f t="shared" si="683"/>
        <v>4110.9620000000004</v>
      </c>
      <c r="BB677" s="867">
        <f t="shared" si="683"/>
        <v>4110.9620000000004</v>
      </c>
      <c r="BC677" s="867">
        <f t="shared" si="683"/>
        <v>4110.9620000000004</v>
      </c>
      <c r="BD677" s="864">
        <f t="shared" si="683"/>
        <v>4110.9620000000004</v>
      </c>
      <c r="BE677" s="864">
        <f t="shared" si="683"/>
        <v>4110.9620000000004</v>
      </c>
      <c r="BF677" s="864">
        <f t="shared" si="683"/>
        <v>4110.9620000000004</v>
      </c>
      <c r="BG677" s="864">
        <f t="shared" si="683"/>
        <v>4110.9620000000004</v>
      </c>
      <c r="BH677" s="821"/>
    </row>
    <row r="678" spans="1:60" customFormat="1" x14ac:dyDescent="0.25">
      <c r="A678" s="367" t="s">
        <v>150</v>
      </c>
      <c r="B678" s="289"/>
      <c r="C678" s="865">
        <v>92.542000000000002</v>
      </c>
      <c r="D678" s="865">
        <v>54.128999999999998</v>
      </c>
      <c r="E678" s="865">
        <v>86.992000000000004</v>
      </c>
      <c r="F678" s="865">
        <v>86.468000000000004</v>
      </c>
      <c r="G678" s="866">
        <v>102.822</v>
      </c>
      <c r="H678" s="866">
        <v>103.441</v>
      </c>
      <c r="I678" s="866">
        <v>100.899</v>
      </c>
      <c r="J678" s="866">
        <v>108.435</v>
      </c>
      <c r="K678" s="865">
        <v>108.435</v>
      </c>
      <c r="L678" s="866">
        <v>133.88300000000001</v>
      </c>
      <c r="M678" s="866">
        <v>137.226</v>
      </c>
      <c r="N678" s="866">
        <v>150.374</v>
      </c>
      <c r="O678" s="866">
        <v>201.58099999999999</v>
      </c>
      <c r="P678" s="865">
        <v>201.58099999999999</v>
      </c>
      <c r="Q678" s="866">
        <v>190.56700000000001</v>
      </c>
      <c r="R678" s="866">
        <v>211.72900000000001</v>
      </c>
      <c r="S678" s="866">
        <v>209.36500000000001</v>
      </c>
      <c r="T678" s="866">
        <v>253.49100000000001</v>
      </c>
      <c r="U678" s="865">
        <v>253.49100000000001</v>
      </c>
      <c r="V678" s="866">
        <v>231.91399999999999</v>
      </c>
      <c r="W678" s="866">
        <v>240.458</v>
      </c>
      <c r="X678" s="866">
        <v>285.75299999999999</v>
      </c>
      <c r="Y678" s="867">
        <f>Z678</f>
        <v>312.84199999999998</v>
      </c>
      <c r="Z678" s="864">
        <v>312.84199999999998</v>
      </c>
      <c r="AA678" s="866">
        <v>294.83100000000002</v>
      </c>
      <c r="AB678" s="866">
        <v>273.39800000000002</v>
      </c>
      <c r="AC678" s="866">
        <v>301.44299999999998</v>
      </c>
      <c r="AD678" s="867">
        <f>AE678</f>
        <v>359.55500000000001</v>
      </c>
      <c r="AE678" s="864">
        <v>359.55500000000001</v>
      </c>
      <c r="AF678" s="866">
        <v>436.18299999999999</v>
      </c>
      <c r="AG678" s="866">
        <v>448.21899999999999</v>
      </c>
      <c r="AH678" s="866">
        <v>441.42700000000002</v>
      </c>
      <c r="AI678" s="867">
        <f>AJ678</f>
        <v>562.98500000000001</v>
      </c>
      <c r="AJ678" s="864">
        <v>562.98500000000001</v>
      </c>
      <c r="AK678" s="866">
        <v>439.49599999999998</v>
      </c>
      <c r="AL678" s="866">
        <v>442.19400000000002</v>
      </c>
      <c r="AM678" s="866">
        <v>444.12900000000002</v>
      </c>
      <c r="AN678" s="867">
        <f>AO678</f>
        <v>674.34699999999998</v>
      </c>
      <c r="AO678" s="864">
        <v>674.34699999999998</v>
      </c>
      <c r="AP678" s="866">
        <v>545.48800000000006</v>
      </c>
      <c r="AQ678" s="866">
        <v>446.66800000000001</v>
      </c>
      <c r="AR678" s="866">
        <v>541.298</v>
      </c>
      <c r="AS678" s="867">
        <f>AT678</f>
        <v>656.18299999999999</v>
      </c>
      <c r="AT678" s="864">
        <v>656.18299999999999</v>
      </c>
      <c r="AU678" s="866">
        <v>532.94200000000001</v>
      </c>
      <c r="AV678" s="866">
        <v>622.93100000000004</v>
      </c>
      <c r="AW678" s="878">
        <v>643.05899999999997</v>
      </c>
      <c r="AX678" s="867">
        <f>(AX$379+AW$379+AV$379+AU$379)*AX617</f>
        <v>779.97934366229424</v>
      </c>
      <c r="AY678" s="864">
        <f>AX678</f>
        <v>779.97934366229424</v>
      </c>
      <c r="AZ678" s="867">
        <f>(AZ$379+AX$379+AW$379+AV$379)*AZ617</f>
        <v>616.84256209352304</v>
      </c>
      <c r="BA678" s="867">
        <f>(BA$379+AZ$379+AX$379+AW$379)*BA617</f>
        <v>709.79163545829852</v>
      </c>
      <c r="BB678" s="867">
        <f>(BB$379+BA$379+AZ$379+AX$379)*BB617</f>
        <v>727.94089623738148</v>
      </c>
      <c r="BC678" s="867">
        <f>(BC$379+BB$379+BA$379+AZ$379)*BC617</f>
        <v>876.94304944886051</v>
      </c>
      <c r="BD678" s="864">
        <f>BC678</f>
        <v>876.94304944886051</v>
      </c>
      <c r="BE678" s="864">
        <f>BE379*BE617</f>
        <v>989.69854911826769</v>
      </c>
      <c r="BF678" s="864">
        <f>BF379*BF617</f>
        <v>1126.5482882654662</v>
      </c>
      <c r="BG678" s="864">
        <f>BG379*BG617</f>
        <v>1285.2735103084917</v>
      </c>
      <c r="BH678" s="821"/>
    </row>
    <row r="679" spans="1:60" customFormat="1" x14ac:dyDescent="0.25">
      <c r="A679" s="418" t="s">
        <v>430</v>
      </c>
      <c r="B679" s="289"/>
      <c r="C679" s="864"/>
      <c r="D679" s="864"/>
      <c r="E679" s="864"/>
      <c r="F679" s="864"/>
      <c r="G679" s="867"/>
      <c r="H679" s="867"/>
      <c r="I679" s="867"/>
      <c r="J679" s="867"/>
      <c r="K679" s="864"/>
      <c r="L679" s="867"/>
      <c r="M679" s="867"/>
      <c r="N679" s="867"/>
      <c r="O679" s="867"/>
      <c r="P679" s="864"/>
      <c r="Q679" s="867"/>
      <c r="R679" s="867"/>
      <c r="S679" s="867"/>
      <c r="T679" s="867"/>
      <c r="U679" s="864"/>
      <c r="V679" s="867"/>
      <c r="W679" s="867"/>
      <c r="X679" s="867"/>
      <c r="Y679" s="867"/>
      <c r="Z679" s="864"/>
      <c r="AA679" s="867"/>
      <c r="AB679" s="867"/>
      <c r="AC679" s="867"/>
      <c r="AD679" s="867"/>
      <c r="AE679" s="864"/>
      <c r="AF679" s="867"/>
      <c r="AG679" s="867"/>
      <c r="AH679" s="867"/>
      <c r="AI679" s="867"/>
      <c r="AJ679" s="864"/>
      <c r="AK679" s="867">
        <v>122.498</v>
      </c>
      <c r="AL679" s="867">
        <v>137.62200000000001</v>
      </c>
      <c r="AM679" s="867">
        <v>160.941</v>
      </c>
      <c r="AN679" s="867">
        <f>AO679</f>
        <v>190.62200000000001</v>
      </c>
      <c r="AO679" s="864">
        <v>190.62200000000001</v>
      </c>
      <c r="AP679" s="867">
        <v>196</v>
      </c>
      <c r="AQ679" s="867">
        <v>227</v>
      </c>
      <c r="AR679" s="867">
        <v>237</v>
      </c>
      <c r="AS679" s="866">
        <f>AT679</f>
        <v>256.22199999999998</v>
      </c>
      <c r="AT679" s="865">
        <v>256.22199999999998</v>
      </c>
      <c r="AU679" s="866">
        <v>268.08699999999999</v>
      </c>
      <c r="AV679" s="867">
        <v>275.04000000000002</v>
      </c>
      <c r="AW679" s="878">
        <v>291.12799999999999</v>
      </c>
      <c r="AX679" s="867">
        <f>AW679</f>
        <v>291.12799999999999</v>
      </c>
      <c r="AY679" s="864">
        <f>AX679</f>
        <v>291.12799999999999</v>
      </c>
      <c r="AZ679" s="867">
        <f t="shared" ref="AZ679:BC680" si="684">AY679</f>
        <v>291.12799999999999</v>
      </c>
      <c r="BA679" s="867">
        <f t="shared" si="684"/>
        <v>291.12799999999999</v>
      </c>
      <c r="BB679" s="867">
        <f t="shared" si="684"/>
        <v>291.12799999999999</v>
      </c>
      <c r="BC679" s="867">
        <f t="shared" si="684"/>
        <v>291.12799999999999</v>
      </c>
      <c r="BD679" s="864">
        <f>BC679</f>
        <v>291.12799999999999</v>
      </c>
      <c r="BE679" s="864">
        <f t="shared" ref="BE679:BG680" si="685">BD679</f>
        <v>291.12799999999999</v>
      </c>
      <c r="BF679" s="864">
        <f t="shared" si="685"/>
        <v>291.12799999999999</v>
      </c>
      <c r="BG679" s="864">
        <f t="shared" si="685"/>
        <v>291.12799999999999</v>
      </c>
      <c r="BH679" s="821"/>
    </row>
    <row r="680" spans="1:60" customFormat="1" x14ac:dyDescent="0.25">
      <c r="A680" s="76" t="s">
        <v>431</v>
      </c>
      <c r="B680" s="289"/>
      <c r="C680" s="864"/>
      <c r="D680" s="864"/>
      <c r="E680" s="864"/>
      <c r="F680" s="864"/>
      <c r="G680" s="867"/>
      <c r="H680" s="867"/>
      <c r="I680" s="867"/>
      <c r="J680" s="867"/>
      <c r="K680" s="864"/>
      <c r="L680" s="867"/>
      <c r="M680" s="867"/>
      <c r="N680" s="867"/>
      <c r="O680" s="867"/>
      <c r="P680" s="864"/>
      <c r="Q680" s="867"/>
      <c r="R680" s="867"/>
      <c r="S680" s="867"/>
      <c r="T680" s="867"/>
      <c r="U680" s="864"/>
      <c r="V680" s="867"/>
      <c r="W680" s="867"/>
      <c r="X680" s="867"/>
      <c r="Y680" s="867"/>
      <c r="Z680" s="864"/>
      <c r="AA680" s="867"/>
      <c r="AB680" s="867"/>
      <c r="AC680" s="867"/>
      <c r="AD680" s="867"/>
      <c r="AE680" s="864"/>
      <c r="AF680" s="867"/>
      <c r="AG680" s="867"/>
      <c r="AH680" s="867"/>
      <c r="AI680" s="867"/>
      <c r="AJ680" s="864"/>
      <c r="AK680" s="866">
        <f t="shared" ref="AK680:AQ680" si="686">AK681-AK679</f>
        <v>623.77</v>
      </c>
      <c r="AL680" s="866">
        <f t="shared" si="686"/>
        <v>613.19000000000005</v>
      </c>
      <c r="AM680" s="866">
        <f t="shared" si="686"/>
        <v>876.78199999999993</v>
      </c>
      <c r="AN680" s="867">
        <f t="shared" si="686"/>
        <v>652.42100000000005</v>
      </c>
      <c r="AO680" s="864">
        <f t="shared" si="686"/>
        <v>652.42100000000005</v>
      </c>
      <c r="AP680" s="866">
        <f t="shared" si="686"/>
        <v>865.08999999999992</v>
      </c>
      <c r="AQ680" s="866">
        <f t="shared" si="686"/>
        <v>759.59500000000003</v>
      </c>
      <c r="AR680" s="866">
        <f>AR681-AR679</f>
        <v>1022.124</v>
      </c>
      <c r="AS680" s="867">
        <f>AS681-AS679</f>
        <v>845.97399999999993</v>
      </c>
      <c r="AT680" s="864">
        <f>AT681-AT679</f>
        <v>845.97399999999993</v>
      </c>
      <c r="AU680" s="866">
        <f t="shared" ref="AU680" si="687">AU681-AU679</f>
        <v>1023.7249999999999</v>
      </c>
      <c r="AV680" s="866">
        <f>AV681-AV679</f>
        <v>850.55099999999993</v>
      </c>
      <c r="AW680" s="878">
        <f>AW681-AW679</f>
        <v>1121.992</v>
      </c>
      <c r="AX680" s="867">
        <f>AW680</f>
        <v>1121.992</v>
      </c>
      <c r="AY680" s="864">
        <f>AX680</f>
        <v>1121.992</v>
      </c>
      <c r="AZ680" s="867">
        <f t="shared" si="684"/>
        <v>1121.992</v>
      </c>
      <c r="BA680" s="867">
        <f t="shared" si="684"/>
        <v>1121.992</v>
      </c>
      <c r="BB680" s="867">
        <f t="shared" si="684"/>
        <v>1121.992</v>
      </c>
      <c r="BC680" s="867">
        <f t="shared" si="684"/>
        <v>1121.992</v>
      </c>
      <c r="BD680" s="864">
        <f>BC680</f>
        <v>1121.992</v>
      </c>
      <c r="BE680" s="864">
        <f t="shared" si="685"/>
        <v>1121.992</v>
      </c>
      <c r="BF680" s="864">
        <f t="shared" si="685"/>
        <v>1121.992</v>
      </c>
      <c r="BG680" s="864">
        <f t="shared" si="685"/>
        <v>1121.992</v>
      </c>
      <c r="BH680" s="821"/>
    </row>
    <row r="681" spans="1:60" customFormat="1" x14ac:dyDescent="0.25">
      <c r="A681" s="336" t="s">
        <v>151</v>
      </c>
      <c r="B681" s="504"/>
      <c r="C681" s="910">
        <v>33.387</v>
      </c>
      <c r="D681" s="910">
        <v>38.572000000000003</v>
      </c>
      <c r="E681" s="910">
        <v>54.231000000000002</v>
      </c>
      <c r="F681" s="910">
        <v>53.139000000000003</v>
      </c>
      <c r="G681" s="911">
        <v>52.003999999999998</v>
      </c>
      <c r="H681" s="911">
        <v>59.034999999999997</v>
      </c>
      <c r="I681" s="911">
        <v>46.433</v>
      </c>
      <c r="J681" s="911">
        <v>54.018000000000001</v>
      </c>
      <c r="K681" s="910">
        <v>54.018000000000001</v>
      </c>
      <c r="L681" s="911">
        <v>54.857999999999997</v>
      </c>
      <c r="M681" s="911">
        <v>98.548000000000002</v>
      </c>
      <c r="N681" s="911">
        <v>70.558999999999997</v>
      </c>
      <c r="O681" s="911">
        <v>69.745999999999995</v>
      </c>
      <c r="P681" s="910">
        <v>69.745999999999995</v>
      </c>
      <c r="Q681" s="911">
        <v>107.32299999999999</v>
      </c>
      <c r="R681" s="911">
        <v>150.40600000000001</v>
      </c>
      <c r="S681" s="911">
        <v>179.35</v>
      </c>
      <c r="T681" s="911">
        <v>140.38900000000001</v>
      </c>
      <c r="U681" s="910">
        <v>140.38900000000001</v>
      </c>
      <c r="V681" s="911">
        <v>181.63399999999999</v>
      </c>
      <c r="W681" s="911">
        <v>172.07300000000001</v>
      </c>
      <c r="X681" s="911">
        <v>201.232</v>
      </c>
      <c r="Y681" s="898">
        <f>Z681</f>
        <v>197.63200000000001</v>
      </c>
      <c r="Z681" s="897">
        <v>197.63200000000001</v>
      </c>
      <c r="AA681" s="911">
        <v>296.25799999999998</v>
      </c>
      <c r="AB681" s="911">
        <v>248.87100000000001</v>
      </c>
      <c r="AC681" s="911">
        <v>331.72300000000001</v>
      </c>
      <c r="AD681" s="898">
        <f>AE681</f>
        <v>315.09399999999999</v>
      </c>
      <c r="AE681" s="897">
        <v>315.09399999999999</v>
      </c>
      <c r="AF681" s="911">
        <v>429.43099999999998</v>
      </c>
      <c r="AG681" s="911">
        <v>392.59500000000003</v>
      </c>
      <c r="AH681" s="911">
        <v>527.07899999999995</v>
      </c>
      <c r="AI681" s="898">
        <f>AJ681</f>
        <v>477.41699999999997</v>
      </c>
      <c r="AJ681" s="897">
        <v>477.41699999999997</v>
      </c>
      <c r="AK681" s="911">
        <v>746.26800000000003</v>
      </c>
      <c r="AL681" s="911">
        <v>750.81200000000001</v>
      </c>
      <c r="AM681" s="911">
        <v>1037.723</v>
      </c>
      <c r="AN681" s="898">
        <f>AO681</f>
        <v>843.04300000000001</v>
      </c>
      <c r="AO681" s="897">
        <v>843.04300000000001</v>
      </c>
      <c r="AP681" s="911">
        <v>1061.0899999999999</v>
      </c>
      <c r="AQ681" s="911">
        <v>986.59500000000003</v>
      </c>
      <c r="AR681" s="911">
        <v>1259.124</v>
      </c>
      <c r="AS681" s="898">
        <f>AT681</f>
        <v>1102.1959999999999</v>
      </c>
      <c r="AT681" s="897">
        <v>1102.1959999999999</v>
      </c>
      <c r="AU681" s="911">
        <v>1291.8119999999999</v>
      </c>
      <c r="AV681" s="911">
        <v>1125.5909999999999</v>
      </c>
      <c r="AW681" s="912">
        <v>1413.12</v>
      </c>
      <c r="AX681" s="898">
        <f>(AX$379+AW$379+AV$379+AU$379)*AX618</f>
        <v>1310.1377400316771</v>
      </c>
      <c r="AY681" s="897">
        <f>AX681</f>
        <v>1310.1377400316771</v>
      </c>
      <c r="AZ681" s="898">
        <f>(AZ$379+AX$379+AW$379+AV$379)*AZ618</f>
        <v>1495.1807585500076</v>
      </c>
      <c r="BA681" s="898">
        <f>(BA$379+AZ$379+AX$379+AW$379)*BA618</f>
        <v>1282.5418493334598</v>
      </c>
      <c r="BB681" s="898">
        <f>(BB$379+BA$379+AZ$379+AX$379)*BB618</f>
        <v>1599.647682857978</v>
      </c>
      <c r="BC681" s="898">
        <f>(BC$379+BB$379+BA$379+AZ$379)*BC618</f>
        <v>1473.0084767973813</v>
      </c>
      <c r="BD681" s="897">
        <f>BC681</f>
        <v>1473.0084767973813</v>
      </c>
      <c r="BE681" s="897">
        <f>BE379*BE618</f>
        <v>1662.4048200638513</v>
      </c>
      <c r="BF681" s="897">
        <f>BF379*BF618</f>
        <v>1892.2724562096912</v>
      </c>
      <c r="BG681" s="897">
        <f>BG379*BG618</f>
        <v>2158.8845214947328</v>
      </c>
      <c r="BH681" s="821"/>
    </row>
    <row r="682" spans="1:60" customFormat="1" x14ac:dyDescent="0.25">
      <c r="A682" s="367" t="s">
        <v>212</v>
      </c>
      <c r="B682" s="289"/>
      <c r="C682" s="865">
        <v>1.41</v>
      </c>
      <c r="D682" s="865">
        <v>0</v>
      </c>
      <c r="E682" s="865">
        <v>0</v>
      </c>
      <c r="F682" s="865">
        <v>0</v>
      </c>
      <c r="G682" s="866">
        <v>0</v>
      </c>
      <c r="H682" s="866">
        <v>0</v>
      </c>
      <c r="I682" s="866">
        <v>0</v>
      </c>
      <c r="J682" s="866">
        <v>0</v>
      </c>
      <c r="K682" s="865">
        <v>0</v>
      </c>
      <c r="L682" s="866">
        <v>0</v>
      </c>
      <c r="M682" s="866">
        <v>0</v>
      </c>
      <c r="N682" s="866">
        <v>0</v>
      </c>
      <c r="O682" s="866">
        <v>0</v>
      </c>
      <c r="P682" s="865">
        <v>0</v>
      </c>
      <c r="Q682" s="866">
        <v>0</v>
      </c>
      <c r="R682" s="866">
        <v>0</v>
      </c>
      <c r="S682" s="866">
        <v>0</v>
      </c>
      <c r="T682" s="866">
        <v>0</v>
      </c>
      <c r="U682" s="865">
        <v>0</v>
      </c>
      <c r="V682" s="867"/>
      <c r="W682" s="867"/>
      <c r="X682" s="867"/>
      <c r="Y682" s="867">
        <f>Z682</f>
        <v>0</v>
      </c>
      <c r="Z682" s="864"/>
      <c r="AA682" s="867"/>
      <c r="AB682" s="867"/>
      <c r="AC682" s="867"/>
      <c r="AD682" s="867">
        <f>AE682</f>
        <v>0</v>
      </c>
      <c r="AE682" s="864"/>
      <c r="AF682" s="867"/>
      <c r="AG682" s="867"/>
      <c r="AH682" s="867"/>
      <c r="AI682" s="867">
        <f>AJ682</f>
        <v>0</v>
      </c>
      <c r="AJ682" s="864"/>
      <c r="AK682" s="867"/>
      <c r="AL682" s="867"/>
      <c r="AM682" s="867"/>
      <c r="AN682" s="867">
        <f>AO682</f>
        <v>0</v>
      </c>
      <c r="AO682" s="864"/>
      <c r="AP682" s="867"/>
      <c r="AQ682" s="867"/>
      <c r="AR682" s="867"/>
      <c r="AS682" s="867">
        <f>AT682</f>
        <v>0</v>
      </c>
      <c r="AT682" s="864"/>
      <c r="AU682" s="867"/>
      <c r="AV682" s="867"/>
      <c r="AW682" s="868"/>
      <c r="AX682" s="867"/>
      <c r="AY682" s="864"/>
      <c r="AZ682" s="867"/>
      <c r="BA682" s="867"/>
      <c r="BB682" s="867"/>
      <c r="BC682" s="867"/>
      <c r="BD682" s="864"/>
      <c r="BE682" s="864"/>
      <c r="BF682" s="864"/>
      <c r="BG682" s="864"/>
      <c r="BH682" s="821"/>
    </row>
    <row r="683" spans="1:60" s="57" customFormat="1" x14ac:dyDescent="0.25">
      <c r="A683" s="367" t="s">
        <v>512</v>
      </c>
      <c r="B683" s="289"/>
      <c r="C683" s="864"/>
      <c r="D683" s="864"/>
      <c r="E683" s="864"/>
      <c r="F683" s="864"/>
      <c r="G683" s="867"/>
      <c r="H683" s="867"/>
      <c r="I683" s="867"/>
      <c r="J683" s="867"/>
      <c r="K683" s="864"/>
      <c r="L683" s="867"/>
      <c r="M683" s="867"/>
      <c r="N683" s="867"/>
      <c r="O683" s="867"/>
      <c r="P683" s="864"/>
      <c r="Q683" s="867"/>
      <c r="R683" s="867"/>
      <c r="S683" s="867"/>
      <c r="T683" s="867"/>
      <c r="U683" s="864"/>
      <c r="V683" s="867"/>
      <c r="W683" s="867"/>
      <c r="X683" s="867"/>
      <c r="Y683" s="867"/>
      <c r="Z683" s="864"/>
      <c r="AA683" s="867"/>
      <c r="AB683" s="867"/>
      <c r="AC683" s="867"/>
      <c r="AD683" s="867"/>
      <c r="AE683" s="864"/>
      <c r="AF683" s="867"/>
      <c r="AG683" s="867"/>
      <c r="AH683" s="867"/>
      <c r="AI683" s="867"/>
      <c r="AJ683" s="864"/>
      <c r="AK683" s="867"/>
      <c r="AL683" s="867"/>
      <c r="AM683" s="867"/>
      <c r="AN683" s="867"/>
      <c r="AO683" s="864"/>
      <c r="AP683" s="866">
        <v>498.80900000000003</v>
      </c>
      <c r="AQ683" s="866">
        <v>499.161</v>
      </c>
      <c r="AR683" s="866">
        <v>499.517</v>
      </c>
      <c r="AS683" s="867">
        <f>AT683</f>
        <v>499.87799999999999</v>
      </c>
      <c r="AT683" s="864">
        <v>499.87799999999999</v>
      </c>
      <c r="AU683" s="866">
        <v>698.78800000000001</v>
      </c>
      <c r="AV683" s="866">
        <v>699.12800000000004</v>
      </c>
      <c r="AW683" s="878">
        <v>699.47299999999996</v>
      </c>
      <c r="AX683" s="867">
        <f>AX454</f>
        <v>699.47299999999996</v>
      </c>
      <c r="AY683" s="864">
        <f>AX683</f>
        <v>699.47299999999996</v>
      </c>
      <c r="AZ683" s="867">
        <f>AZ454</f>
        <v>699.47299999999996</v>
      </c>
      <c r="BA683" s="867">
        <f>BA454</f>
        <v>699.47299999999996</v>
      </c>
      <c r="BB683" s="867">
        <f>BB454</f>
        <v>699.47299999999996</v>
      </c>
      <c r="BC683" s="867">
        <f>BC454</f>
        <v>699.47299999999996</v>
      </c>
      <c r="BD683" s="864">
        <f>BC683</f>
        <v>699.47299999999996</v>
      </c>
      <c r="BE683" s="864">
        <f>BE454</f>
        <v>699.47299999999996</v>
      </c>
      <c r="BF683" s="864">
        <f>BF454</f>
        <v>699.47299999999996</v>
      </c>
      <c r="BG683" s="864">
        <f>BG454</f>
        <v>699.47299999999996</v>
      </c>
      <c r="BH683" s="821"/>
    </row>
    <row r="684" spans="1:60" customFormat="1" x14ac:dyDescent="0.25">
      <c r="A684" s="113" t="s">
        <v>152</v>
      </c>
      <c r="B684" s="441"/>
      <c r="C684" s="886">
        <v>100.09699999999999</v>
      </c>
      <c r="D684" s="886">
        <v>127.18300000000001</v>
      </c>
      <c r="E684" s="886">
        <v>148.79599999999999</v>
      </c>
      <c r="F684" s="886">
        <v>169.47200000000001</v>
      </c>
      <c r="G684" s="885">
        <v>178.87799999999999</v>
      </c>
      <c r="H684" s="885">
        <v>186.571</v>
      </c>
      <c r="I684" s="885">
        <v>195.82300000000001</v>
      </c>
      <c r="J684" s="885">
        <v>215.767</v>
      </c>
      <c r="K684" s="886">
        <v>215.767</v>
      </c>
      <c r="L684" s="885">
        <v>230.01499999999999</v>
      </c>
      <c r="M684" s="885">
        <v>241.33</v>
      </c>
      <c r="N684" s="885">
        <v>252.95599999999999</v>
      </c>
      <c r="O684" s="885">
        <v>274.58600000000001</v>
      </c>
      <c r="P684" s="886">
        <v>274.58600000000001</v>
      </c>
      <c r="Q684" s="885">
        <v>285.33999999999997</v>
      </c>
      <c r="R684" s="885">
        <v>301.75400000000002</v>
      </c>
      <c r="S684" s="885">
        <v>329.73899999999998</v>
      </c>
      <c r="T684" s="885">
        <v>346.721</v>
      </c>
      <c r="U684" s="886">
        <v>346.721</v>
      </c>
      <c r="V684" s="885">
        <v>374.22300000000001</v>
      </c>
      <c r="W684" s="885">
        <v>396.976</v>
      </c>
      <c r="X684" s="885">
        <v>427.20600000000002</v>
      </c>
      <c r="Y684" s="882">
        <f>Z684</f>
        <v>443.47199999999998</v>
      </c>
      <c r="Z684" s="881">
        <v>443.47199999999998</v>
      </c>
      <c r="AA684" s="885">
        <v>458.69299999999998</v>
      </c>
      <c r="AB684" s="885">
        <v>505.30200000000002</v>
      </c>
      <c r="AC684" s="885">
        <v>535.42499999999995</v>
      </c>
      <c r="AD684" s="882">
        <f>AE684</f>
        <v>618.62199999999996</v>
      </c>
      <c r="AE684" s="881">
        <v>618.62199999999996</v>
      </c>
      <c r="AF684" s="885">
        <v>673.89200000000005</v>
      </c>
      <c r="AG684" s="885">
        <v>697.74</v>
      </c>
      <c r="AH684" s="885">
        <v>716.72299999999996</v>
      </c>
      <c r="AI684" s="882">
        <f>AJ684</f>
        <v>760.899</v>
      </c>
      <c r="AJ684" s="881">
        <v>760.899</v>
      </c>
      <c r="AK684" s="885">
        <v>808.69200000000001</v>
      </c>
      <c r="AL684" s="885">
        <v>892.77700000000004</v>
      </c>
      <c r="AM684" s="885">
        <v>915.50599999999997</v>
      </c>
      <c r="AN684" s="882">
        <f>AO684</f>
        <v>924.745</v>
      </c>
      <c r="AO684" s="881">
        <v>924.745</v>
      </c>
      <c r="AP684" s="885">
        <v>986.75300000000004</v>
      </c>
      <c r="AQ684" s="885">
        <v>1029.261</v>
      </c>
      <c r="AR684" s="885">
        <v>1040.202</v>
      </c>
      <c r="AS684" s="882">
        <f>AT684</f>
        <v>1117.992</v>
      </c>
      <c r="AT684" s="881">
        <v>1117.992</v>
      </c>
      <c r="AU684" s="885">
        <v>1140.271</v>
      </c>
      <c r="AV684" s="885">
        <v>1187.364</v>
      </c>
      <c r="AW684" s="891">
        <v>1182.6320000000001</v>
      </c>
      <c r="AX684" s="882">
        <f>(AX$379+AW$379+AV$379+AU$379)*AX619</f>
        <v>1328.9138340671668</v>
      </c>
      <c r="AY684" s="881">
        <f>AX684</f>
        <v>1328.9138340671668</v>
      </c>
      <c r="AZ684" s="882">
        <f>(AZ$379+AX$379+AW$379+AV$379)*AZ619</f>
        <v>1319.7828002314391</v>
      </c>
      <c r="BA684" s="882">
        <f>(BA$379+AZ$379+AX$379+AW$379)*BA619</f>
        <v>1352.9283908559812</v>
      </c>
      <c r="BB684" s="882">
        <f>(BB$379+BA$379+AZ$379+AX$379)*BB619</f>
        <v>1338.7359449117532</v>
      </c>
      <c r="BC684" s="882">
        <f>(BC$379+BB$379+BA$379+AZ$379)*BC619</f>
        <v>1494.1187347728155</v>
      </c>
      <c r="BD684" s="881">
        <f>BC684</f>
        <v>1494.1187347728155</v>
      </c>
      <c r="BE684" s="881">
        <f>BE379*BE619</f>
        <v>1686.229390773352</v>
      </c>
      <c r="BF684" s="881">
        <f>BF379*BF619</f>
        <v>1919.3913495084225</v>
      </c>
      <c r="BG684" s="881">
        <f>BG379*BG619</f>
        <v>2189.8243361025984</v>
      </c>
      <c r="BH684" s="821"/>
    </row>
    <row r="685" spans="1:60" customFormat="1" x14ac:dyDescent="0.25">
      <c r="A685" s="61" t="s">
        <v>213</v>
      </c>
      <c r="B685" s="505"/>
      <c r="C685" s="872">
        <f t="shared" ref="C685:AJ685" si="688">SUM(C677:C684)</f>
        <v>227.43599999999998</v>
      </c>
      <c r="D685" s="872">
        <f t="shared" si="688"/>
        <v>388.57899999999995</v>
      </c>
      <c r="E685" s="872">
        <f t="shared" si="688"/>
        <v>1225.0550000000001</v>
      </c>
      <c r="F685" s="872">
        <f t="shared" si="688"/>
        <v>1675.9259999999999</v>
      </c>
      <c r="G685" s="871">
        <f t="shared" si="688"/>
        <v>1688.7139999999997</v>
      </c>
      <c r="H685" s="871">
        <f t="shared" si="688"/>
        <v>1670.2640000000001</v>
      </c>
      <c r="I685" s="871">
        <f t="shared" si="688"/>
        <v>1935.1360000000002</v>
      </c>
      <c r="J685" s="871">
        <f t="shared" si="688"/>
        <v>2154.203</v>
      </c>
      <c r="K685" s="872">
        <f t="shared" si="688"/>
        <v>2154.203</v>
      </c>
      <c r="L685" s="871">
        <f t="shared" si="688"/>
        <v>2263.6529999999998</v>
      </c>
      <c r="M685" s="871">
        <f t="shared" si="688"/>
        <v>2335.1239999999998</v>
      </c>
      <c r="N685" s="871">
        <f t="shared" si="688"/>
        <v>2548.6550000000002</v>
      </c>
      <c r="O685" s="871">
        <f t="shared" si="688"/>
        <v>2663.1540000000005</v>
      </c>
      <c r="P685" s="872">
        <f t="shared" si="688"/>
        <v>2663.1540000000005</v>
      </c>
      <c r="Q685" s="871">
        <f t="shared" si="688"/>
        <v>3008.8490000000002</v>
      </c>
      <c r="R685" s="871">
        <f t="shared" si="688"/>
        <v>3220.0689999999995</v>
      </c>
      <c r="S685" s="871">
        <f t="shared" si="688"/>
        <v>3341.4179999999997</v>
      </c>
      <c r="T685" s="871">
        <f t="shared" si="688"/>
        <v>3529.6240000000003</v>
      </c>
      <c r="U685" s="872">
        <f t="shared" si="688"/>
        <v>3529.6240000000003</v>
      </c>
      <c r="V685" s="871">
        <f t="shared" si="688"/>
        <v>3933.6319999999996</v>
      </c>
      <c r="W685" s="871">
        <f t="shared" si="688"/>
        <v>4051.837</v>
      </c>
      <c r="X685" s="871">
        <f t="shared" si="688"/>
        <v>4411.4049999999997</v>
      </c>
      <c r="Y685" s="870">
        <f t="shared" si="688"/>
        <v>4586.6569999999992</v>
      </c>
      <c r="Z685" s="869">
        <f t="shared" si="688"/>
        <v>4586.6569999999992</v>
      </c>
      <c r="AA685" s="871">
        <f t="shared" si="688"/>
        <v>4911.2290000000003</v>
      </c>
      <c r="AB685" s="871">
        <f t="shared" si="688"/>
        <v>5122.9449999999997</v>
      </c>
      <c r="AC685" s="871">
        <f t="shared" si="688"/>
        <v>5310.6770000000006</v>
      </c>
      <c r="AD685" s="870">
        <f t="shared" si="688"/>
        <v>5466.3120000000008</v>
      </c>
      <c r="AE685" s="869">
        <f t="shared" si="688"/>
        <v>5466.3120000000008</v>
      </c>
      <c r="AF685" s="871">
        <f t="shared" si="688"/>
        <v>6005.5869999999995</v>
      </c>
      <c r="AG685" s="871">
        <f t="shared" si="688"/>
        <v>6079.6410000000005</v>
      </c>
      <c r="AH685" s="871">
        <f t="shared" si="688"/>
        <v>6298.24</v>
      </c>
      <c r="AI685" s="870">
        <f t="shared" si="688"/>
        <v>6487.3200000000006</v>
      </c>
      <c r="AJ685" s="869">
        <f t="shared" si="688"/>
        <v>6487.3200000000006</v>
      </c>
      <c r="AK685" s="871">
        <f t="shared" ref="AK685:AY685" si="689">SUM(AK677:AK678)+SUM(AK681:AK684)</f>
        <v>6857.8069999999998</v>
      </c>
      <c r="AL685" s="871">
        <f t="shared" si="689"/>
        <v>6933.9840000000004</v>
      </c>
      <c r="AM685" s="871">
        <f t="shared" si="689"/>
        <v>7257.9</v>
      </c>
      <c r="AN685" s="870">
        <f t="shared" si="689"/>
        <v>6855.6959999999999</v>
      </c>
      <c r="AO685" s="869">
        <f t="shared" si="689"/>
        <v>6855.6959999999999</v>
      </c>
      <c r="AP685" s="871">
        <f t="shared" si="689"/>
        <v>7853.7250000000004</v>
      </c>
      <c r="AQ685" s="871">
        <f t="shared" si="689"/>
        <v>7626.4179999999997</v>
      </c>
      <c r="AR685" s="871">
        <f>SUM(AR677:AR678)+SUM(AR681:AR684)</f>
        <v>7939.7950000000001</v>
      </c>
      <c r="AS685" s="870">
        <f>SUM(AS677:AS678)+SUM(AS681:AS684)</f>
        <v>7805.7849999999999</v>
      </c>
      <c r="AT685" s="869">
        <f>SUM(AT677:AT678)+SUM(AT681:AT684)</f>
        <v>7805.7849999999999</v>
      </c>
      <c r="AU685" s="871">
        <f t="shared" ref="AU685" si="690">SUM(AU677:AU678)+SUM(AU681:AU684)</f>
        <v>7961.77</v>
      </c>
      <c r="AV685" s="871">
        <f>SUM(AV677:AV678)+SUM(AV681:AV684)</f>
        <v>7832.8880000000008</v>
      </c>
      <c r="AW685" s="873">
        <f>SUM(AW677:AW678)+SUM(AW681:AW684)</f>
        <v>8049.246000000001</v>
      </c>
      <c r="AX685" s="870">
        <f t="shared" si="689"/>
        <v>8229.4659177611393</v>
      </c>
      <c r="AY685" s="869">
        <f t="shared" si="689"/>
        <v>8229.4659177611393</v>
      </c>
      <c r="AZ685" s="870">
        <f t="shared" ref="AZ685:BG685" si="691">SUM(AZ677:AZ678)+SUM(AZ681:AZ684)</f>
        <v>8242.2411208749691</v>
      </c>
      <c r="BA685" s="870">
        <f t="shared" si="691"/>
        <v>8155.6968756477399</v>
      </c>
      <c r="BB685" s="870">
        <f t="shared" si="691"/>
        <v>8476.7595240071132</v>
      </c>
      <c r="BC685" s="870">
        <f t="shared" si="691"/>
        <v>8654.5052610190578</v>
      </c>
      <c r="BD685" s="869">
        <f t="shared" si="691"/>
        <v>8654.5052610190578</v>
      </c>
      <c r="BE685" s="869">
        <f t="shared" si="691"/>
        <v>9148.7677599554718</v>
      </c>
      <c r="BF685" s="869">
        <f t="shared" si="691"/>
        <v>9748.6470939835799</v>
      </c>
      <c r="BG685" s="869">
        <f t="shared" si="691"/>
        <v>10444.417367905822</v>
      </c>
      <c r="BH685" s="824"/>
    </row>
    <row r="686" spans="1:60" customFormat="1" x14ac:dyDescent="0.25">
      <c r="A686" s="494"/>
      <c r="B686" s="423"/>
      <c r="C686" s="874"/>
      <c r="D686" s="874"/>
      <c r="E686" s="874"/>
      <c r="F686" s="874"/>
      <c r="G686" s="879"/>
      <c r="H686" s="879"/>
      <c r="I686" s="879"/>
      <c r="J686" s="879"/>
      <c r="K686" s="874"/>
      <c r="L686" s="879"/>
      <c r="M686" s="879"/>
      <c r="N686" s="879"/>
      <c r="O686" s="879"/>
      <c r="P686" s="874"/>
      <c r="Q686" s="879"/>
      <c r="R686" s="879"/>
      <c r="S686" s="879"/>
      <c r="T686" s="879"/>
      <c r="U686" s="874"/>
      <c r="V686" s="879"/>
      <c r="W686" s="879"/>
      <c r="X686" s="879"/>
      <c r="Y686" s="879"/>
      <c r="Z686" s="874"/>
      <c r="AA686" s="879"/>
      <c r="AB686" s="879"/>
      <c r="AC686" s="879"/>
      <c r="AD686" s="879"/>
      <c r="AE686" s="874"/>
      <c r="AF686" s="879"/>
      <c r="AG686" s="879"/>
      <c r="AH686" s="879"/>
      <c r="AI686" s="879"/>
      <c r="AJ686" s="874"/>
      <c r="AK686" s="879"/>
      <c r="AL686" s="879"/>
      <c r="AM686" s="879"/>
      <c r="AN686" s="879"/>
      <c r="AO686" s="874"/>
      <c r="AP686" s="879"/>
      <c r="AQ686" s="879"/>
      <c r="AR686" s="879"/>
      <c r="AS686" s="879"/>
      <c r="AT686" s="874"/>
      <c r="AU686" s="879"/>
      <c r="AV686" s="879"/>
      <c r="AW686" s="880"/>
      <c r="AX686" s="879"/>
      <c r="AY686" s="874"/>
      <c r="AZ686" s="879"/>
      <c r="BA686" s="879"/>
      <c r="BB686" s="879"/>
      <c r="BC686" s="879"/>
      <c r="BD686" s="874"/>
      <c r="BE686" s="874"/>
      <c r="BF686" s="874"/>
      <c r="BG686" s="874"/>
      <c r="BH686" s="824"/>
    </row>
    <row r="687" spans="1:60" customFormat="1" x14ac:dyDescent="0.25">
      <c r="A687" s="73" t="s">
        <v>214</v>
      </c>
      <c r="B687" s="423"/>
      <c r="C687" s="874"/>
      <c r="D687" s="874"/>
      <c r="E687" s="874"/>
      <c r="F687" s="874"/>
      <c r="G687" s="879"/>
      <c r="H687" s="879"/>
      <c r="I687" s="879"/>
      <c r="J687" s="879"/>
      <c r="K687" s="874"/>
      <c r="L687" s="879"/>
      <c r="M687" s="879"/>
      <c r="N687" s="879"/>
      <c r="O687" s="879"/>
      <c r="P687" s="874"/>
      <c r="Q687" s="879"/>
      <c r="R687" s="879"/>
      <c r="S687" s="879"/>
      <c r="T687" s="879"/>
      <c r="U687" s="874"/>
      <c r="V687" s="879"/>
      <c r="W687" s="879"/>
      <c r="X687" s="879"/>
      <c r="Y687" s="879"/>
      <c r="Z687" s="874"/>
      <c r="AA687" s="879"/>
      <c r="AB687" s="879"/>
      <c r="AC687" s="879"/>
      <c r="AD687" s="879"/>
      <c r="AE687" s="874"/>
      <c r="AF687" s="879"/>
      <c r="AG687" s="879"/>
      <c r="AH687" s="879"/>
      <c r="AI687" s="879"/>
      <c r="AJ687" s="874"/>
      <c r="AK687" s="879"/>
      <c r="AL687" s="879"/>
      <c r="AM687" s="879"/>
      <c r="AN687" s="879"/>
      <c r="AO687" s="874"/>
      <c r="AP687" s="879"/>
      <c r="AQ687" s="879"/>
      <c r="AR687" s="879"/>
      <c r="AS687" s="879"/>
      <c r="AT687" s="874"/>
      <c r="AU687" s="879"/>
      <c r="AV687" s="879"/>
      <c r="AW687" s="880"/>
      <c r="AX687" s="879"/>
      <c r="AY687" s="874"/>
      <c r="AZ687" s="879"/>
      <c r="BA687" s="879"/>
      <c r="BB687" s="879"/>
      <c r="BC687" s="879"/>
      <c r="BD687" s="874"/>
      <c r="BE687" s="874"/>
      <c r="BF687" s="874"/>
      <c r="BG687" s="874"/>
      <c r="BH687" s="824"/>
    </row>
    <row r="688" spans="1:60" customFormat="1" x14ac:dyDescent="0.25">
      <c r="A688" s="367" t="s">
        <v>215</v>
      </c>
      <c r="B688" s="289"/>
      <c r="C688" s="865">
        <v>0</v>
      </c>
      <c r="D688" s="865">
        <v>48.179000000000002</v>
      </c>
      <c r="E688" s="865">
        <v>739.62800000000004</v>
      </c>
      <c r="F688" s="865">
        <v>1076.6220000000001</v>
      </c>
      <c r="G688" s="866">
        <v>1083.4269999999999</v>
      </c>
      <c r="H688" s="866">
        <v>1124.249</v>
      </c>
      <c r="I688" s="866">
        <v>1179.0550000000001</v>
      </c>
      <c r="J688" s="866">
        <v>1345.59</v>
      </c>
      <c r="K688" s="865">
        <v>1345.59</v>
      </c>
      <c r="L688" s="866">
        <v>1321.8789999999999</v>
      </c>
      <c r="M688" s="866">
        <v>1390.77</v>
      </c>
      <c r="N688" s="866">
        <v>1510.403</v>
      </c>
      <c r="O688" s="866">
        <v>1575.8320000000001</v>
      </c>
      <c r="P688" s="865">
        <v>1575.8320000000001</v>
      </c>
      <c r="Q688" s="866">
        <v>1861.7909999999999</v>
      </c>
      <c r="R688" s="866">
        <v>1942.624</v>
      </c>
      <c r="S688" s="866">
        <v>1966.854</v>
      </c>
      <c r="T688" s="866">
        <v>2026.36</v>
      </c>
      <c r="U688" s="865">
        <v>2026.36</v>
      </c>
      <c r="V688" s="866">
        <v>2586.098</v>
      </c>
      <c r="W688" s="866">
        <v>2698.52</v>
      </c>
      <c r="X688" s="866">
        <v>2975.1889999999999</v>
      </c>
      <c r="Y688" s="867">
        <f>Z688</f>
        <v>2894.654</v>
      </c>
      <c r="Z688" s="864">
        <v>2894.654</v>
      </c>
      <c r="AA688" s="866">
        <v>3035.43</v>
      </c>
      <c r="AB688" s="866">
        <v>3356.09</v>
      </c>
      <c r="AC688" s="866">
        <v>3296.5039999999999</v>
      </c>
      <c r="AD688" s="867">
        <f>AE688</f>
        <v>3329.7959999999998</v>
      </c>
      <c r="AE688" s="864">
        <v>3329.7959999999998</v>
      </c>
      <c r="AF688" s="866">
        <v>3444.4760000000001</v>
      </c>
      <c r="AG688" s="866">
        <v>3604.1579999999999</v>
      </c>
      <c r="AH688" s="866">
        <v>3593.8229999999999</v>
      </c>
      <c r="AI688" s="867">
        <f>AJ688</f>
        <v>3759.0259999999998</v>
      </c>
      <c r="AJ688" s="864">
        <v>3759.0259999999998</v>
      </c>
      <c r="AK688" s="866">
        <v>3560.364</v>
      </c>
      <c r="AL688" s="866">
        <v>3564.44</v>
      </c>
      <c r="AM688" s="866">
        <v>3419.5520000000001</v>
      </c>
      <c r="AN688" s="867">
        <f>AO688</f>
        <v>3334.3229999999999</v>
      </c>
      <c r="AO688" s="864">
        <v>3334.3229999999999</v>
      </c>
      <c r="AP688" s="866">
        <v>3206.0509999999999</v>
      </c>
      <c r="AQ688" s="866">
        <v>3208.1640000000002</v>
      </c>
      <c r="AR688" s="866">
        <v>2926.5740000000001</v>
      </c>
      <c r="AS688" s="867">
        <f>AT688</f>
        <v>2618.0839999999998</v>
      </c>
      <c r="AT688" s="864">
        <v>2618.0839999999998</v>
      </c>
      <c r="AU688" s="866">
        <v>2465.6260000000002</v>
      </c>
      <c r="AV688" s="866">
        <v>2265.2860000000001</v>
      </c>
      <c r="AW688" s="878">
        <v>2301.0259999999998</v>
      </c>
      <c r="AX688" s="867">
        <f>AW688+AX557</f>
        <v>2601.0259999999998</v>
      </c>
      <c r="AY688" s="864">
        <f>AX688</f>
        <v>2601.0259999999998</v>
      </c>
      <c r="AZ688" s="867">
        <f>AY688+AZ557</f>
        <v>2901.0259999999998</v>
      </c>
      <c r="BA688" s="867">
        <f>AZ688+BA557</f>
        <v>3201.0259999999998</v>
      </c>
      <c r="BB688" s="867">
        <f>BA688+BB557</f>
        <v>3501.0259999999998</v>
      </c>
      <c r="BC688" s="867">
        <f>BB688+BC557</f>
        <v>3801.0259999999998</v>
      </c>
      <c r="BD688" s="864">
        <f>BC688</f>
        <v>3801.0259999999998</v>
      </c>
      <c r="BE688" s="864">
        <f>BD688+BE557</f>
        <v>5001.0259999999998</v>
      </c>
      <c r="BF688" s="864">
        <f>BE688+BF557</f>
        <v>6201.0259999999998</v>
      </c>
      <c r="BG688" s="864">
        <f>BF688+BG557</f>
        <v>7401.0259999999998</v>
      </c>
      <c r="BH688" s="821"/>
    </row>
    <row r="689" spans="1:60" customFormat="1" x14ac:dyDescent="0.25">
      <c r="A689" s="367" t="s">
        <v>216</v>
      </c>
      <c r="B689" s="289"/>
      <c r="C689" s="865">
        <v>200</v>
      </c>
      <c r="D689" s="865">
        <v>200</v>
      </c>
      <c r="E689" s="865">
        <v>200</v>
      </c>
      <c r="F689" s="865">
        <v>200</v>
      </c>
      <c r="G689" s="866">
        <v>500</v>
      </c>
      <c r="H689" s="866">
        <v>500</v>
      </c>
      <c r="I689" s="866">
        <v>500</v>
      </c>
      <c r="J689" s="866">
        <v>500</v>
      </c>
      <c r="K689" s="865">
        <v>500</v>
      </c>
      <c r="L689" s="866">
        <v>900</v>
      </c>
      <c r="M689" s="866">
        <v>900</v>
      </c>
      <c r="N689" s="866">
        <v>900</v>
      </c>
      <c r="O689" s="866">
        <v>900</v>
      </c>
      <c r="P689" s="865">
        <v>900</v>
      </c>
      <c r="Q689" s="866">
        <v>2400</v>
      </c>
      <c r="R689" s="866">
        <v>2400</v>
      </c>
      <c r="S689" s="866">
        <v>2400</v>
      </c>
      <c r="T689" s="866">
        <v>2371.3620000000001</v>
      </c>
      <c r="U689" s="865">
        <v>2371.3620000000001</v>
      </c>
      <c r="V689" s="866">
        <v>2372.2179999999998</v>
      </c>
      <c r="W689" s="866">
        <v>2373.085</v>
      </c>
      <c r="X689" s="866">
        <v>2373.9659999999999</v>
      </c>
      <c r="Y689" s="867">
        <f>Z689</f>
        <v>3364.3110000000001</v>
      </c>
      <c r="Z689" s="864">
        <v>3364.3110000000001</v>
      </c>
      <c r="AA689" s="866">
        <v>3365.431</v>
      </c>
      <c r="AB689" s="866">
        <v>4836.5020000000004</v>
      </c>
      <c r="AC689" s="866">
        <v>4888.7830000000004</v>
      </c>
      <c r="AD689" s="867">
        <f>AE689</f>
        <v>6499.4319999999998</v>
      </c>
      <c r="AE689" s="864">
        <v>6499.4319999999998</v>
      </c>
      <c r="AF689" s="866">
        <v>6542.3729999999996</v>
      </c>
      <c r="AG689" s="866">
        <v>8342.0669999999991</v>
      </c>
      <c r="AH689" s="866">
        <v>8336.5859999999993</v>
      </c>
      <c r="AI689" s="867">
        <f>AJ689</f>
        <v>10360.058000000001</v>
      </c>
      <c r="AJ689" s="864">
        <v>10360.058000000001</v>
      </c>
      <c r="AK689" s="866">
        <v>10305.022999999999</v>
      </c>
      <c r="AL689" s="866">
        <v>12594.135</v>
      </c>
      <c r="AM689" s="866">
        <v>12425.745999999999</v>
      </c>
      <c r="AN689" s="867">
        <f>AO689</f>
        <v>14759.26</v>
      </c>
      <c r="AO689" s="864">
        <v>14759.26</v>
      </c>
      <c r="AP689" s="866">
        <v>14170.691999999999</v>
      </c>
      <c r="AQ689" s="866">
        <v>15294.998</v>
      </c>
      <c r="AR689" s="866">
        <v>15547.616</v>
      </c>
      <c r="AS689" s="867">
        <f>AT689</f>
        <v>15809.094999999999</v>
      </c>
      <c r="AT689" s="864">
        <v>15809.094999999999</v>
      </c>
      <c r="AU689" s="866">
        <v>14860.552</v>
      </c>
      <c r="AV689" s="866">
        <v>14926.888999999999</v>
      </c>
      <c r="AW689" s="878">
        <v>14793.691000000001</v>
      </c>
      <c r="AX689" s="867">
        <f>AX455</f>
        <v>14793.691000000001</v>
      </c>
      <c r="AY689" s="864">
        <f>AX689</f>
        <v>14793.691000000001</v>
      </c>
      <c r="AZ689" s="867">
        <f>AZ455</f>
        <v>14793.691000000001</v>
      </c>
      <c r="BA689" s="867">
        <f>BA455</f>
        <v>14793.691000000001</v>
      </c>
      <c r="BB689" s="867">
        <f>BB455</f>
        <v>14793.691000000001</v>
      </c>
      <c r="BC689" s="867">
        <f>BC455</f>
        <v>14793.691000000001</v>
      </c>
      <c r="BD689" s="864">
        <f>BC689</f>
        <v>14793.691000000001</v>
      </c>
      <c r="BE689" s="864">
        <f>BE455</f>
        <v>14793.691000000001</v>
      </c>
      <c r="BF689" s="864">
        <f>BF455</f>
        <v>14793.691000000001</v>
      </c>
      <c r="BG689" s="864">
        <f>BG455</f>
        <v>14793.691000000001</v>
      </c>
      <c r="BH689" s="821"/>
    </row>
    <row r="690" spans="1:60" customFormat="1" x14ac:dyDescent="0.25">
      <c r="A690" s="367" t="s">
        <v>217</v>
      </c>
      <c r="B690" s="289"/>
      <c r="C690" s="865">
        <v>36.572000000000003</v>
      </c>
      <c r="D690" s="865">
        <v>0</v>
      </c>
      <c r="E690" s="865">
        <v>200</v>
      </c>
      <c r="F690" s="865">
        <v>200</v>
      </c>
      <c r="G690" s="866">
        <v>200</v>
      </c>
      <c r="H690" s="866">
        <v>0</v>
      </c>
      <c r="I690" s="866">
        <v>0</v>
      </c>
      <c r="J690" s="866">
        <v>0</v>
      </c>
      <c r="K690" s="865">
        <v>0</v>
      </c>
      <c r="L690" s="866">
        <v>0</v>
      </c>
      <c r="M690" s="866">
        <v>0</v>
      </c>
      <c r="N690" s="866">
        <v>0</v>
      </c>
      <c r="O690" s="866">
        <v>0</v>
      </c>
      <c r="P690" s="865">
        <v>0</v>
      </c>
      <c r="Q690" s="866">
        <v>0</v>
      </c>
      <c r="R690" s="866">
        <v>0</v>
      </c>
      <c r="S690" s="866">
        <v>0</v>
      </c>
      <c r="T690" s="866">
        <v>0</v>
      </c>
      <c r="U690" s="865">
        <v>0</v>
      </c>
      <c r="V690" s="867"/>
      <c r="W690" s="867"/>
      <c r="X690" s="867"/>
      <c r="Y690" s="867">
        <f>Z690</f>
        <v>0</v>
      </c>
      <c r="Z690" s="864"/>
      <c r="AA690" s="867"/>
      <c r="AB690" s="867"/>
      <c r="AC690" s="867"/>
      <c r="AD690" s="867">
        <f>AE690</f>
        <v>0</v>
      </c>
      <c r="AE690" s="864"/>
      <c r="AF690" s="867"/>
      <c r="AG690" s="867"/>
      <c r="AH690" s="867"/>
      <c r="AI690" s="867">
        <f>AJ690</f>
        <v>0</v>
      </c>
      <c r="AJ690" s="864"/>
      <c r="AK690" s="867"/>
      <c r="AL690" s="867"/>
      <c r="AM690" s="867"/>
      <c r="AN690" s="867">
        <f>AO690</f>
        <v>0</v>
      </c>
      <c r="AO690" s="864"/>
      <c r="AP690" s="867"/>
      <c r="AQ690" s="867"/>
      <c r="AR690" s="867"/>
      <c r="AS690" s="867">
        <f>AT690</f>
        <v>0</v>
      </c>
      <c r="AT690" s="864"/>
      <c r="AU690" s="867"/>
      <c r="AV690" s="867"/>
      <c r="AW690" s="868"/>
      <c r="AX690" s="867"/>
      <c r="AY690" s="864"/>
      <c r="AZ690" s="867"/>
      <c r="BA690" s="867"/>
      <c r="BB690" s="867"/>
      <c r="BC690" s="867"/>
      <c r="BD690" s="864"/>
      <c r="BE690" s="864"/>
      <c r="BF690" s="864"/>
      <c r="BG690" s="864"/>
      <c r="BH690" s="821"/>
    </row>
    <row r="691" spans="1:60" customFormat="1" x14ac:dyDescent="0.25">
      <c r="A691" s="418" t="s">
        <v>432</v>
      </c>
      <c r="B691" s="289"/>
      <c r="C691" s="864"/>
      <c r="D691" s="864"/>
      <c r="E691" s="864"/>
      <c r="F691" s="864"/>
      <c r="G691" s="867"/>
      <c r="H691" s="867"/>
      <c r="I691" s="867"/>
      <c r="J691" s="867"/>
      <c r="K691" s="864"/>
      <c r="L691" s="867"/>
      <c r="M691" s="867"/>
      <c r="N691" s="867"/>
      <c r="O691" s="867"/>
      <c r="P691" s="864"/>
      <c r="Q691" s="867"/>
      <c r="R691" s="867"/>
      <c r="S691" s="867"/>
      <c r="T691" s="867"/>
      <c r="U691" s="864"/>
      <c r="V691" s="867"/>
      <c r="W691" s="867"/>
      <c r="X691" s="867"/>
      <c r="Y691" s="867"/>
      <c r="Z691" s="864"/>
      <c r="AA691" s="867"/>
      <c r="AB691" s="867"/>
      <c r="AC691" s="867"/>
      <c r="AD691" s="867"/>
      <c r="AE691" s="864"/>
      <c r="AF691" s="867"/>
      <c r="AG691" s="867"/>
      <c r="AH691" s="867"/>
      <c r="AI691" s="867"/>
      <c r="AJ691" s="864"/>
      <c r="AK691" s="867">
        <v>765.024</v>
      </c>
      <c r="AL691" s="867">
        <v>946.32</v>
      </c>
      <c r="AM691" s="867">
        <v>952.678</v>
      </c>
      <c r="AN691" s="867">
        <f>AO691</f>
        <v>1422.6120000000001</v>
      </c>
      <c r="AO691" s="864">
        <v>1422.6120000000001</v>
      </c>
      <c r="AP691" s="867">
        <v>1400</v>
      </c>
      <c r="AQ691" s="867">
        <v>1687</v>
      </c>
      <c r="AR691" s="867">
        <v>1853</v>
      </c>
      <c r="AS691" s="866">
        <f>AT691</f>
        <v>1945.6310000000001</v>
      </c>
      <c r="AT691" s="865">
        <v>1945.6310000000001</v>
      </c>
      <c r="AU691" s="866">
        <v>1911.8920000000001</v>
      </c>
      <c r="AV691" s="867">
        <v>2042.067</v>
      </c>
      <c r="AW691" s="878">
        <v>2222.3159999999998</v>
      </c>
      <c r="AX691" s="867">
        <f t="shared" ref="AX691:AY693" si="692">AW691</f>
        <v>2222.3159999999998</v>
      </c>
      <c r="AY691" s="864">
        <f t="shared" si="692"/>
        <v>2222.3159999999998</v>
      </c>
      <c r="AZ691" s="867">
        <f t="shared" ref="AZ691:BG693" si="693">AY691</f>
        <v>2222.3159999999998</v>
      </c>
      <c r="BA691" s="867">
        <f t="shared" si="693"/>
        <v>2222.3159999999998</v>
      </c>
      <c r="BB691" s="867">
        <f t="shared" si="693"/>
        <v>2222.3159999999998</v>
      </c>
      <c r="BC691" s="867">
        <f t="shared" si="693"/>
        <v>2222.3159999999998</v>
      </c>
      <c r="BD691" s="864">
        <f t="shared" si="693"/>
        <v>2222.3159999999998</v>
      </c>
      <c r="BE691" s="864">
        <f t="shared" si="693"/>
        <v>2222.3159999999998</v>
      </c>
      <c r="BF691" s="864">
        <f t="shared" si="693"/>
        <v>2222.3159999999998</v>
      </c>
      <c r="BG691" s="864">
        <f t="shared" si="693"/>
        <v>2222.3159999999998</v>
      </c>
      <c r="BH691" s="821"/>
    </row>
    <row r="692" spans="1:60" customFormat="1" x14ac:dyDescent="0.25">
      <c r="A692" s="418" t="s">
        <v>433</v>
      </c>
      <c r="B692" s="289"/>
      <c r="C692" s="864"/>
      <c r="D692" s="864"/>
      <c r="E692" s="864"/>
      <c r="F692" s="864"/>
      <c r="G692" s="867"/>
      <c r="H692" s="867"/>
      <c r="I692" s="867"/>
      <c r="J692" s="867"/>
      <c r="K692" s="864"/>
      <c r="L692" s="867"/>
      <c r="M692" s="867"/>
      <c r="N692" s="867"/>
      <c r="O692" s="867"/>
      <c r="P692" s="864"/>
      <c r="Q692" s="867"/>
      <c r="R692" s="867"/>
      <c r="S692" s="867"/>
      <c r="T692" s="867"/>
      <c r="U692" s="864"/>
      <c r="V692" s="867"/>
      <c r="W692" s="867"/>
      <c r="X692" s="867"/>
      <c r="Y692" s="867"/>
      <c r="Z692" s="864"/>
      <c r="AA692" s="867"/>
      <c r="AB692" s="867"/>
      <c r="AC692" s="867"/>
      <c r="AD692" s="867"/>
      <c r="AE692" s="864"/>
      <c r="AF692" s="867"/>
      <c r="AG692" s="867"/>
      <c r="AH692" s="867"/>
      <c r="AI692" s="867"/>
      <c r="AJ692" s="864"/>
      <c r="AK692" s="867">
        <f t="shared" ref="AK692:AQ692" si="694">AK693-AK691</f>
        <v>27.355999999999995</v>
      </c>
      <c r="AL692" s="867">
        <f t="shared" si="694"/>
        <v>26.911999999999921</v>
      </c>
      <c r="AM692" s="867">
        <f t="shared" si="694"/>
        <v>24.330000000000041</v>
      </c>
      <c r="AN692" s="867">
        <f t="shared" si="694"/>
        <v>21.663999999999987</v>
      </c>
      <c r="AO692" s="864">
        <f t="shared" si="694"/>
        <v>21.663999999999987</v>
      </c>
      <c r="AP692" s="867">
        <f t="shared" si="694"/>
        <v>20.147999999999911</v>
      </c>
      <c r="AQ692" s="866">
        <f t="shared" si="694"/>
        <v>23.948000000000093</v>
      </c>
      <c r="AR692" s="867">
        <f>AR693-AR691</f>
        <v>22.2349999999999</v>
      </c>
      <c r="AS692" s="867">
        <f>AS693-AS691</f>
        <v>36.523999999999887</v>
      </c>
      <c r="AT692" s="864">
        <f>AT693-AT691</f>
        <v>36.523999999999887</v>
      </c>
      <c r="AU692" s="867">
        <f t="shared" ref="AU692" si="695">AU693-AU691</f>
        <v>39.094000000000051</v>
      </c>
      <c r="AV692" s="866">
        <f>AV693-AV691</f>
        <v>39.967999999999847</v>
      </c>
      <c r="AW692" s="868">
        <f>AW693-AW691</f>
        <v>58.96100000000024</v>
      </c>
      <c r="AX692" s="867">
        <f t="shared" si="692"/>
        <v>58.96100000000024</v>
      </c>
      <c r="AY692" s="864">
        <f t="shared" si="692"/>
        <v>58.96100000000024</v>
      </c>
      <c r="AZ692" s="867">
        <f t="shared" si="693"/>
        <v>58.96100000000024</v>
      </c>
      <c r="BA692" s="867">
        <f t="shared" si="693"/>
        <v>58.96100000000024</v>
      </c>
      <c r="BB692" s="867">
        <f t="shared" si="693"/>
        <v>58.96100000000024</v>
      </c>
      <c r="BC692" s="867">
        <f t="shared" si="693"/>
        <v>58.96100000000024</v>
      </c>
      <c r="BD692" s="864">
        <f t="shared" si="693"/>
        <v>58.96100000000024</v>
      </c>
      <c r="BE692" s="864">
        <f t="shared" si="693"/>
        <v>58.96100000000024</v>
      </c>
      <c r="BF692" s="864">
        <f t="shared" si="693"/>
        <v>58.96100000000024</v>
      </c>
      <c r="BG692" s="864">
        <f t="shared" si="693"/>
        <v>58.96100000000024</v>
      </c>
      <c r="BH692" s="821"/>
    </row>
    <row r="693" spans="1:60" customFormat="1" x14ac:dyDescent="0.25">
      <c r="A693" s="337" t="s">
        <v>218</v>
      </c>
      <c r="B693" s="511"/>
      <c r="C693" s="937">
        <v>16.582999999999998</v>
      </c>
      <c r="D693" s="937">
        <v>55.145000000000003</v>
      </c>
      <c r="E693" s="937">
        <v>61.703000000000003</v>
      </c>
      <c r="F693" s="937">
        <v>70.668999999999997</v>
      </c>
      <c r="G693" s="938">
        <v>78.228999999999999</v>
      </c>
      <c r="H693" s="938">
        <v>80.616</v>
      </c>
      <c r="I693" s="938">
        <v>82.763999999999996</v>
      </c>
      <c r="J693" s="938">
        <v>79.209000000000003</v>
      </c>
      <c r="K693" s="937">
        <v>79.209000000000003</v>
      </c>
      <c r="L693" s="938">
        <v>84.215999999999994</v>
      </c>
      <c r="M693" s="938">
        <v>90.222999999999999</v>
      </c>
      <c r="N693" s="938">
        <v>94.397000000000006</v>
      </c>
      <c r="O693" s="938">
        <v>59.957000000000001</v>
      </c>
      <c r="P693" s="937">
        <v>59.957000000000001</v>
      </c>
      <c r="Q693" s="938">
        <v>60.771999999999998</v>
      </c>
      <c r="R693" s="938">
        <v>60.093000000000004</v>
      </c>
      <c r="S693" s="938">
        <v>40.677</v>
      </c>
      <c r="T693" s="938">
        <v>52.098999999999997</v>
      </c>
      <c r="U693" s="937">
        <v>52.098999999999997</v>
      </c>
      <c r="V693" s="938">
        <v>53.093000000000004</v>
      </c>
      <c r="W693" s="938">
        <v>54.231000000000002</v>
      </c>
      <c r="X693" s="938">
        <v>57.811999999999998</v>
      </c>
      <c r="Y693" s="908">
        <f>Z693</f>
        <v>61.188000000000002</v>
      </c>
      <c r="Z693" s="907">
        <v>61.188000000000002</v>
      </c>
      <c r="AA693" s="938">
        <v>73.322999999999993</v>
      </c>
      <c r="AB693" s="938">
        <v>89.186000000000007</v>
      </c>
      <c r="AC693" s="938">
        <v>128.215</v>
      </c>
      <c r="AD693" s="908">
        <f>AE693</f>
        <v>135.24600000000001</v>
      </c>
      <c r="AE693" s="907">
        <v>135.24600000000001</v>
      </c>
      <c r="AF693" s="938">
        <v>139.631</v>
      </c>
      <c r="AG693" s="938">
        <v>141.071</v>
      </c>
      <c r="AH693" s="938">
        <v>127.92700000000001</v>
      </c>
      <c r="AI693" s="908">
        <f>AJ693</f>
        <v>129.23099999999999</v>
      </c>
      <c r="AJ693" s="907">
        <v>129.23099999999999</v>
      </c>
      <c r="AK693" s="938">
        <v>792.38</v>
      </c>
      <c r="AL693" s="938">
        <v>973.23199999999997</v>
      </c>
      <c r="AM693" s="938">
        <v>977.00800000000004</v>
      </c>
      <c r="AN693" s="908">
        <f>AO693</f>
        <v>1444.2760000000001</v>
      </c>
      <c r="AO693" s="907">
        <v>1444.2760000000001</v>
      </c>
      <c r="AP693" s="938">
        <v>1420.1479999999999</v>
      </c>
      <c r="AQ693" s="938">
        <v>1710.9480000000001</v>
      </c>
      <c r="AR693" s="938">
        <v>1875.2349999999999</v>
      </c>
      <c r="AS693" s="908">
        <f>AT693</f>
        <v>1982.155</v>
      </c>
      <c r="AT693" s="907">
        <v>1982.155</v>
      </c>
      <c r="AU693" s="938">
        <v>1950.9860000000001</v>
      </c>
      <c r="AV693" s="938">
        <v>2082.0349999999999</v>
      </c>
      <c r="AW693" s="939">
        <v>2281.277</v>
      </c>
      <c r="AX693" s="908">
        <f t="shared" si="692"/>
        <v>2281.277</v>
      </c>
      <c r="AY693" s="907">
        <f t="shared" si="692"/>
        <v>2281.277</v>
      </c>
      <c r="AZ693" s="908">
        <f t="shared" si="693"/>
        <v>2281.277</v>
      </c>
      <c r="BA693" s="908">
        <f t="shared" si="693"/>
        <v>2281.277</v>
      </c>
      <c r="BB693" s="908">
        <f t="shared" si="693"/>
        <v>2281.277</v>
      </c>
      <c r="BC693" s="908">
        <f t="shared" si="693"/>
        <v>2281.277</v>
      </c>
      <c r="BD693" s="907">
        <f t="shared" si="693"/>
        <v>2281.277</v>
      </c>
      <c r="BE693" s="907">
        <f t="shared" si="693"/>
        <v>2281.277</v>
      </c>
      <c r="BF693" s="907">
        <f t="shared" si="693"/>
        <v>2281.277</v>
      </c>
      <c r="BG693" s="907">
        <f t="shared" si="693"/>
        <v>2281.277</v>
      </c>
      <c r="BH693" s="821"/>
    </row>
    <row r="694" spans="1:60" customFormat="1" x14ac:dyDescent="0.25">
      <c r="A694" s="61" t="s">
        <v>219</v>
      </c>
      <c r="B694" s="505"/>
      <c r="C694" s="872">
        <f t="shared" ref="C694:AJ694" si="696">SUM(C688:C693)</f>
        <v>253.155</v>
      </c>
      <c r="D694" s="872">
        <f t="shared" si="696"/>
        <v>303.32400000000001</v>
      </c>
      <c r="E694" s="872">
        <f t="shared" si="696"/>
        <v>1201.3310000000001</v>
      </c>
      <c r="F694" s="872">
        <f t="shared" si="696"/>
        <v>1547.2910000000002</v>
      </c>
      <c r="G694" s="871">
        <f t="shared" si="696"/>
        <v>1861.6559999999999</v>
      </c>
      <c r="H694" s="871">
        <f t="shared" si="696"/>
        <v>1704.865</v>
      </c>
      <c r="I694" s="871">
        <f t="shared" si="696"/>
        <v>1761.819</v>
      </c>
      <c r="J694" s="871">
        <f t="shared" si="696"/>
        <v>1924.799</v>
      </c>
      <c r="K694" s="872">
        <f t="shared" si="696"/>
        <v>1924.799</v>
      </c>
      <c r="L694" s="871">
        <f t="shared" si="696"/>
        <v>2306.0949999999998</v>
      </c>
      <c r="M694" s="871">
        <f t="shared" si="696"/>
        <v>2380.9929999999999</v>
      </c>
      <c r="N694" s="871">
        <f t="shared" si="696"/>
        <v>2504.8000000000002</v>
      </c>
      <c r="O694" s="871">
        <f t="shared" si="696"/>
        <v>2535.7890000000002</v>
      </c>
      <c r="P694" s="872">
        <f t="shared" si="696"/>
        <v>2535.7890000000002</v>
      </c>
      <c r="Q694" s="871">
        <f t="shared" si="696"/>
        <v>4322.5630000000001</v>
      </c>
      <c r="R694" s="871">
        <f t="shared" si="696"/>
        <v>4402.7169999999996</v>
      </c>
      <c r="S694" s="871">
        <f t="shared" si="696"/>
        <v>4407.5309999999999</v>
      </c>
      <c r="T694" s="871">
        <f t="shared" si="696"/>
        <v>4449.8209999999999</v>
      </c>
      <c r="U694" s="872">
        <f t="shared" si="696"/>
        <v>4449.8209999999999</v>
      </c>
      <c r="V694" s="871">
        <f t="shared" si="696"/>
        <v>5011.4089999999997</v>
      </c>
      <c r="W694" s="871">
        <f t="shared" si="696"/>
        <v>5125.8359999999993</v>
      </c>
      <c r="X694" s="871">
        <f t="shared" si="696"/>
        <v>5406.9669999999996</v>
      </c>
      <c r="Y694" s="870">
        <f t="shared" si="696"/>
        <v>6320.1530000000002</v>
      </c>
      <c r="Z694" s="869">
        <f t="shared" si="696"/>
        <v>6320.1530000000002</v>
      </c>
      <c r="AA694" s="871">
        <f t="shared" si="696"/>
        <v>6474.1840000000002</v>
      </c>
      <c r="AB694" s="871">
        <f t="shared" si="696"/>
        <v>8281.7780000000002</v>
      </c>
      <c r="AC694" s="871">
        <f t="shared" si="696"/>
        <v>8313.5020000000004</v>
      </c>
      <c r="AD694" s="870">
        <f t="shared" si="696"/>
        <v>9964.4739999999983</v>
      </c>
      <c r="AE694" s="869">
        <f t="shared" si="696"/>
        <v>9964.4739999999983</v>
      </c>
      <c r="AF694" s="871">
        <f t="shared" si="696"/>
        <v>10126.48</v>
      </c>
      <c r="AG694" s="871">
        <f t="shared" si="696"/>
        <v>12087.295999999998</v>
      </c>
      <c r="AH694" s="871">
        <f t="shared" si="696"/>
        <v>12058.335999999999</v>
      </c>
      <c r="AI694" s="870">
        <f t="shared" si="696"/>
        <v>14248.315000000001</v>
      </c>
      <c r="AJ694" s="869">
        <f t="shared" si="696"/>
        <v>14248.315000000001</v>
      </c>
      <c r="AK694" s="871">
        <f t="shared" ref="AK694:AY694" si="697">SUM(AK688:AK690)+SUM(AK693)</f>
        <v>14657.766999999998</v>
      </c>
      <c r="AL694" s="871">
        <f t="shared" si="697"/>
        <v>17131.807000000001</v>
      </c>
      <c r="AM694" s="871">
        <f t="shared" si="697"/>
        <v>16822.306</v>
      </c>
      <c r="AN694" s="870">
        <f t="shared" si="697"/>
        <v>19537.859</v>
      </c>
      <c r="AO694" s="869">
        <f t="shared" si="697"/>
        <v>19537.859</v>
      </c>
      <c r="AP694" s="871">
        <f t="shared" si="697"/>
        <v>18796.891</v>
      </c>
      <c r="AQ694" s="871">
        <f t="shared" si="697"/>
        <v>20214.11</v>
      </c>
      <c r="AR694" s="871">
        <f>SUM(AR688:AR690)+SUM(AR693)</f>
        <v>20349.424999999999</v>
      </c>
      <c r="AS694" s="870">
        <f>SUM(AS688:AS690)+SUM(AS693)</f>
        <v>20409.333999999999</v>
      </c>
      <c r="AT694" s="869">
        <f>SUM(AT688:AT690)+SUM(AT693)</f>
        <v>20409.333999999999</v>
      </c>
      <c r="AU694" s="871">
        <f t="shared" ref="AU694" si="698">SUM(AU688:AU690)+SUM(AU693)</f>
        <v>19277.164000000001</v>
      </c>
      <c r="AV694" s="871">
        <f>SUM(AV688:AV690)+SUM(AV693)</f>
        <v>19274.21</v>
      </c>
      <c r="AW694" s="873">
        <f>SUM(AW688:AW690)+SUM(AW693)</f>
        <v>19375.993999999999</v>
      </c>
      <c r="AX694" s="870">
        <f t="shared" si="697"/>
        <v>19675.993999999999</v>
      </c>
      <c r="AY694" s="869">
        <f t="shared" si="697"/>
        <v>19675.993999999999</v>
      </c>
      <c r="AZ694" s="870">
        <f t="shared" ref="AZ694:BG694" si="699">SUM(AZ688:AZ690)+SUM(AZ693)</f>
        <v>19975.993999999999</v>
      </c>
      <c r="BA694" s="870">
        <f t="shared" si="699"/>
        <v>20275.993999999999</v>
      </c>
      <c r="BB694" s="870">
        <f t="shared" si="699"/>
        <v>20575.993999999999</v>
      </c>
      <c r="BC694" s="870">
        <f t="shared" si="699"/>
        <v>20875.993999999999</v>
      </c>
      <c r="BD694" s="869">
        <f t="shared" si="699"/>
        <v>20875.993999999999</v>
      </c>
      <c r="BE694" s="869">
        <f t="shared" si="699"/>
        <v>22075.993999999999</v>
      </c>
      <c r="BF694" s="869">
        <f t="shared" si="699"/>
        <v>23275.993999999999</v>
      </c>
      <c r="BG694" s="869">
        <f t="shared" si="699"/>
        <v>24475.993999999999</v>
      </c>
      <c r="BH694" s="824"/>
    </row>
    <row r="695" spans="1:60" customFormat="1" x14ac:dyDescent="0.25">
      <c r="A695" s="63" t="s">
        <v>220</v>
      </c>
      <c r="B695" s="423"/>
      <c r="C695" s="875">
        <f t="shared" ref="C695:AH695" si="700">C685+C694</f>
        <v>480.59100000000001</v>
      </c>
      <c r="D695" s="875">
        <f t="shared" si="700"/>
        <v>691.90300000000002</v>
      </c>
      <c r="E695" s="875">
        <f t="shared" si="700"/>
        <v>2426.3860000000004</v>
      </c>
      <c r="F695" s="875">
        <f t="shared" si="700"/>
        <v>3223.2170000000001</v>
      </c>
      <c r="G695" s="876">
        <f t="shared" si="700"/>
        <v>3550.37</v>
      </c>
      <c r="H695" s="876">
        <f t="shared" si="700"/>
        <v>3375.1289999999999</v>
      </c>
      <c r="I695" s="876">
        <f t="shared" si="700"/>
        <v>3696.9549999999999</v>
      </c>
      <c r="J695" s="876">
        <f t="shared" si="700"/>
        <v>4079.002</v>
      </c>
      <c r="K695" s="875">
        <f t="shared" si="700"/>
        <v>4079.002</v>
      </c>
      <c r="L695" s="876">
        <f t="shared" si="700"/>
        <v>4569.7479999999996</v>
      </c>
      <c r="M695" s="876">
        <f t="shared" si="700"/>
        <v>4716.1170000000002</v>
      </c>
      <c r="N695" s="876">
        <f t="shared" si="700"/>
        <v>5053.4549999999999</v>
      </c>
      <c r="O695" s="876">
        <f t="shared" si="700"/>
        <v>5198.9430000000011</v>
      </c>
      <c r="P695" s="875">
        <f t="shared" si="700"/>
        <v>5198.9430000000011</v>
      </c>
      <c r="Q695" s="876">
        <f t="shared" si="700"/>
        <v>7331.4120000000003</v>
      </c>
      <c r="R695" s="876">
        <f t="shared" si="700"/>
        <v>7622.7859999999991</v>
      </c>
      <c r="S695" s="876">
        <f t="shared" si="700"/>
        <v>7748.9489999999996</v>
      </c>
      <c r="T695" s="876">
        <f t="shared" si="700"/>
        <v>7979.4449999999997</v>
      </c>
      <c r="U695" s="875">
        <f t="shared" si="700"/>
        <v>7979.4449999999997</v>
      </c>
      <c r="V695" s="876">
        <f t="shared" si="700"/>
        <v>8945.0409999999993</v>
      </c>
      <c r="W695" s="876">
        <f t="shared" si="700"/>
        <v>9177.6729999999989</v>
      </c>
      <c r="X695" s="876">
        <f t="shared" si="700"/>
        <v>9818.3719999999994</v>
      </c>
      <c r="Y695" s="879">
        <f t="shared" si="700"/>
        <v>10906.81</v>
      </c>
      <c r="Z695" s="874">
        <f t="shared" si="700"/>
        <v>10906.81</v>
      </c>
      <c r="AA695" s="876">
        <f t="shared" si="700"/>
        <v>11385.413</v>
      </c>
      <c r="AB695" s="876">
        <f t="shared" si="700"/>
        <v>13404.723</v>
      </c>
      <c r="AC695" s="876">
        <f t="shared" si="700"/>
        <v>13624.179</v>
      </c>
      <c r="AD695" s="879">
        <f t="shared" si="700"/>
        <v>15430.786</v>
      </c>
      <c r="AE695" s="874">
        <f t="shared" si="700"/>
        <v>15430.786</v>
      </c>
      <c r="AF695" s="876">
        <f t="shared" si="700"/>
        <v>16132.066999999999</v>
      </c>
      <c r="AG695" s="876">
        <f t="shared" si="700"/>
        <v>18166.936999999998</v>
      </c>
      <c r="AH695" s="876">
        <f t="shared" si="700"/>
        <v>18356.576000000001</v>
      </c>
      <c r="AI695" s="879">
        <f t="shared" ref="AI695:AY695" si="701">AI685+AI694</f>
        <v>20735.635000000002</v>
      </c>
      <c r="AJ695" s="874">
        <f t="shared" si="701"/>
        <v>20735.635000000002</v>
      </c>
      <c r="AK695" s="876">
        <f t="shared" si="701"/>
        <v>21515.573999999997</v>
      </c>
      <c r="AL695" s="876">
        <f t="shared" si="701"/>
        <v>24065.791000000001</v>
      </c>
      <c r="AM695" s="876">
        <f t="shared" si="701"/>
        <v>24080.205999999998</v>
      </c>
      <c r="AN695" s="879">
        <f t="shared" si="701"/>
        <v>26393.555</v>
      </c>
      <c r="AO695" s="874">
        <f t="shared" si="701"/>
        <v>26393.555</v>
      </c>
      <c r="AP695" s="876">
        <f t="shared" si="701"/>
        <v>26650.616000000002</v>
      </c>
      <c r="AQ695" s="876">
        <f t="shared" si="701"/>
        <v>27840.527999999998</v>
      </c>
      <c r="AR695" s="876">
        <f>AR685+AR694</f>
        <v>28289.22</v>
      </c>
      <c r="AS695" s="879">
        <f>AS685+AS694</f>
        <v>28215.118999999999</v>
      </c>
      <c r="AT695" s="874">
        <f>AT685+AT694</f>
        <v>28215.118999999999</v>
      </c>
      <c r="AU695" s="876">
        <f t="shared" ref="AU695" si="702">AU685+AU694</f>
        <v>27238.934000000001</v>
      </c>
      <c r="AV695" s="876">
        <f>AV685+AV694</f>
        <v>27107.097999999998</v>
      </c>
      <c r="AW695" s="877">
        <f>AW685+AW694</f>
        <v>27425.239999999998</v>
      </c>
      <c r="AX695" s="879">
        <f t="shared" si="701"/>
        <v>27905.459917761138</v>
      </c>
      <c r="AY695" s="874">
        <f t="shared" si="701"/>
        <v>27905.459917761138</v>
      </c>
      <c r="AZ695" s="879">
        <f t="shared" ref="AZ695:BG695" si="703">AZ685+AZ694</f>
        <v>28218.235120874968</v>
      </c>
      <c r="BA695" s="879">
        <f t="shared" si="703"/>
        <v>28431.690875647739</v>
      </c>
      <c r="BB695" s="879">
        <f t="shared" si="703"/>
        <v>29052.753524007112</v>
      </c>
      <c r="BC695" s="879">
        <f t="shared" si="703"/>
        <v>29530.499261019057</v>
      </c>
      <c r="BD695" s="874">
        <f t="shared" si="703"/>
        <v>29530.499261019057</v>
      </c>
      <c r="BE695" s="874">
        <f t="shared" si="703"/>
        <v>31224.761759955472</v>
      </c>
      <c r="BF695" s="874">
        <f t="shared" si="703"/>
        <v>33024.641093983577</v>
      </c>
      <c r="BG695" s="874">
        <f t="shared" si="703"/>
        <v>34920.411367905821</v>
      </c>
      <c r="BH695" s="824"/>
    </row>
    <row r="696" spans="1:60" customFormat="1" x14ac:dyDescent="0.25">
      <c r="A696" s="494"/>
      <c r="B696" s="423"/>
      <c r="C696" s="874"/>
      <c r="D696" s="874"/>
      <c r="E696" s="874"/>
      <c r="F696" s="874"/>
      <c r="G696" s="879"/>
      <c r="H696" s="879"/>
      <c r="I696" s="879"/>
      <c r="J696" s="879"/>
      <c r="K696" s="874"/>
      <c r="L696" s="879"/>
      <c r="M696" s="879"/>
      <c r="N696" s="879"/>
      <c r="O696" s="879"/>
      <c r="P696" s="874"/>
      <c r="Q696" s="879"/>
      <c r="R696" s="879"/>
      <c r="S696" s="879"/>
      <c r="T696" s="879"/>
      <c r="U696" s="874"/>
      <c r="V696" s="879"/>
      <c r="W696" s="879"/>
      <c r="X696" s="879"/>
      <c r="Y696" s="879"/>
      <c r="Z696" s="874"/>
      <c r="AA696" s="879"/>
      <c r="AB696" s="879"/>
      <c r="AC696" s="879"/>
      <c r="AD696" s="879"/>
      <c r="AE696" s="874"/>
      <c r="AF696" s="879"/>
      <c r="AG696" s="879"/>
      <c r="AH696" s="879"/>
      <c r="AI696" s="879"/>
      <c r="AJ696" s="874"/>
      <c r="AK696" s="879"/>
      <c r="AL696" s="879"/>
      <c r="AM696" s="879"/>
      <c r="AN696" s="879"/>
      <c r="AO696" s="874"/>
      <c r="AP696" s="879"/>
      <c r="AQ696" s="879"/>
      <c r="AR696" s="879"/>
      <c r="AS696" s="879"/>
      <c r="AT696" s="874"/>
      <c r="AU696" s="879"/>
      <c r="AV696" s="879"/>
      <c r="AW696" s="880"/>
      <c r="AX696" s="879"/>
      <c r="AY696" s="874"/>
      <c r="AZ696" s="879"/>
      <c r="BA696" s="879"/>
      <c r="BB696" s="879"/>
      <c r="BC696" s="879"/>
      <c r="BD696" s="874"/>
      <c r="BE696" s="874"/>
      <c r="BF696" s="874"/>
      <c r="BG696" s="874"/>
      <c r="BH696" s="824"/>
    </row>
    <row r="697" spans="1:60" customFormat="1" x14ac:dyDescent="0.25">
      <c r="A697" s="73" t="s">
        <v>221</v>
      </c>
      <c r="B697" s="423"/>
      <c r="C697" s="874"/>
      <c r="D697" s="874"/>
      <c r="E697" s="874"/>
      <c r="F697" s="874"/>
      <c r="G697" s="879"/>
      <c r="H697" s="879"/>
      <c r="I697" s="879"/>
      <c r="J697" s="879"/>
      <c r="K697" s="874"/>
      <c r="L697" s="879"/>
      <c r="M697" s="879"/>
      <c r="N697" s="879"/>
      <c r="O697" s="879"/>
      <c r="P697" s="874"/>
      <c r="Q697" s="879"/>
      <c r="R697" s="879"/>
      <c r="S697" s="879"/>
      <c r="T697" s="879"/>
      <c r="U697" s="874"/>
      <c r="V697" s="879"/>
      <c r="W697" s="879"/>
      <c r="X697" s="879"/>
      <c r="Y697" s="879"/>
      <c r="Z697" s="874"/>
      <c r="AA697" s="879"/>
      <c r="AB697" s="879"/>
      <c r="AC697" s="879"/>
      <c r="AD697" s="879"/>
      <c r="AE697" s="874"/>
      <c r="AF697" s="879"/>
      <c r="AG697" s="879"/>
      <c r="AH697" s="879"/>
      <c r="AI697" s="879"/>
      <c r="AJ697" s="874"/>
      <c r="AK697" s="879"/>
      <c r="AL697" s="879"/>
      <c r="AM697" s="879"/>
      <c r="AN697" s="879"/>
      <c r="AO697" s="874"/>
      <c r="AP697" s="879"/>
      <c r="AQ697" s="879"/>
      <c r="AR697" s="879"/>
      <c r="AS697" s="879"/>
      <c r="AT697" s="874"/>
      <c r="AU697" s="879"/>
      <c r="AV697" s="879"/>
      <c r="AW697" s="880"/>
      <c r="AX697" s="879"/>
      <c r="AY697" s="874"/>
      <c r="AZ697" s="879"/>
      <c r="BA697" s="879"/>
      <c r="BB697" s="879"/>
      <c r="BC697" s="879"/>
      <c r="BD697" s="874"/>
      <c r="BE697" s="874"/>
      <c r="BF697" s="874"/>
      <c r="BG697" s="874"/>
      <c r="BH697" s="824"/>
    </row>
    <row r="698" spans="1:60" customFormat="1" x14ac:dyDescent="0.25">
      <c r="A698" s="367" t="s">
        <v>578</v>
      </c>
      <c r="B698" s="289"/>
      <c r="C698" s="865">
        <v>5.2999999999999999E-2</v>
      </c>
      <c r="D698" s="865">
        <v>5.2999999999999999E-2</v>
      </c>
      <c r="E698" s="865">
        <v>5.5E-2</v>
      </c>
      <c r="F698" s="865">
        <v>5.6000000000000001E-2</v>
      </c>
      <c r="G698" s="866">
        <v>5.6000000000000001E-2</v>
      </c>
      <c r="H698" s="866">
        <v>5.8999999999999997E-2</v>
      </c>
      <c r="I698" s="866">
        <v>5.8999999999999997E-2</v>
      </c>
      <c r="J698" s="866">
        <v>0.06</v>
      </c>
      <c r="K698" s="865">
        <v>0.06</v>
      </c>
      <c r="L698" s="866">
        <v>0.06</v>
      </c>
      <c r="M698" s="866">
        <v>0.06</v>
      </c>
      <c r="N698" s="866">
        <v>0.06</v>
      </c>
      <c r="O698" s="866">
        <v>1042.8699999999999</v>
      </c>
      <c r="P698" s="865">
        <v>1042.8699999999999</v>
      </c>
      <c r="Q698" s="866">
        <v>1109.3879999999999</v>
      </c>
      <c r="R698" s="866">
        <v>1200.8800000000001</v>
      </c>
      <c r="S698" s="866">
        <v>1306.461</v>
      </c>
      <c r="T698" s="866">
        <v>1324.809</v>
      </c>
      <c r="U698" s="865">
        <v>1324.809</v>
      </c>
      <c r="V698" s="866">
        <v>1382.0509999999999</v>
      </c>
      <c r="W698" s="866">
        <v>1443.7070000000001</v>
      </c>
      <c r="X698" s="866">
        <v>1503.6410000000001</v>
      </c>
      <c r="Y698" s="867">
        <f>Z698</f>
        <v>1599.7619999999999</v>
      </c>
      <c r="Z698" s="864">
        <v>1599.7619999999999</v>
      </c>
      <c r="AA698" s="866">
        <v>1669.1320000000001</v>
      </c>
      <c r="AB698" s="866">
        <v>1727.8579999999999</v>
      </c>
      <c r="AC698" s="866">
        <v>1807.123</v>
      </c>
      <c r="AD698" s="867">
        <f>AE698</f>
        <v>1871.396</v>
      </c>
      <c r="AE698" s="864">
        <v>1871.396</v>
      </c>
      <c r="AF698" s="866">
        <v>1995.2249999999999</v>
      </c>
      <c r="AG698" s="866">
        <v>2103.4369999999999</v>
      </c>
      <c r="AH698" s="866">
        <v>2215.7359999999999</v>
      </c>
      <c r="AI698" s="867">
        <f>AJ698</f>
        <v>2315.9879999999998</v>
      </c>
      <c r="AJ698" s="864">
        <v>2315.9879999999998</v>
      </c>
      <c r="AK698" s="866">
        <v>2439.7730000000001</v>
      </c>
      <c r="AL698" s="866">
        <v>2566.3649999999998</v>
      </c>
      <c r="AM698" s="866">
        <v>2677.9720000000002</v>
      </c>
      <c r="AN698" s="867">
        <f>AO698</f>
        <v>2793.9290000000001</v>
      </c>
      <c r="AO698" s="864">
        <v>2793.9290000000001</v>
      </c>
      <c r="AP698" s="866">
        <v>2935.5320000000002</v>
      </c>
      <c r="AQ698" s="866">
        <v>3127.8130000000001</v>
      </c>
      <c r="AR698" s="866">
        <v>3303.482</v>
      </c>
      <c r="AS698" s="867">
        <f>AT698</f>
        <v>3447.6979999999999</v>
      </c>
      <c r="AT698" s="864">
        <v>3447.6979999999999</v>
      </c>
      <c r="AU698" s="866">
        <v>3600.0839999999998</v>
      </c>
      <c r="AV698" s="866">
        <v>3721.2460000000001</v>
      </c>
      <c r="AW698" s="878">
        <v>3852.5309999999999</v>
      </c>
      <c r="AX698" s="867">
        <f>AW698+AX561</f>
        <v>3952.9341423520318</v>
      </c>
      <c r="AY698" s="864">
        <f>AX698</f>
        <v>3952.9341423520318</v>
      </c>
      <c r="AZ698" s="867">
        <f>AY698+AZ561</f>
        <v>4056.9067999022368</v>
      </c>
      <c r="BA698" s="867">
        <f>AZ698+BA561</f>
        <v>4163.8563574418613</v>
      </c>
      <c r="BB698" s="867">
        <f>BA698+BB561</f>
        <v>4273.8926620592065</v>
      </c>
      <c r="BC698" s="867">
        <f>BB698+BC561</f>
        <v>4387.2055703634987</v>
      </c>
      <c r="BD698" s="864">
        <f>BC698</f>
        <v>4387.2055703634987</v>
      </c>
      <c r="BE698" s="864">
        <f>BD698+BE561</f>
        <v>4877.3147085755927</v>
      </c>
      <c r="BF698" s="864">
        <f>BE698+BF561</f>
        <v>5435.1932779723011</v>
      </c>
      <c r="BG698" s="864">
        <f>BF698+BG561</f>
        <v>6071.6742479255599</v>
      </c>
      <c r="BH698" s="821"/>
    </row>
    <row r="699" spans="1:60" s="57" customFormat="1" x14ac:dyDescent="0.25">
      <c r="A699" s="367" t="s">
        <v>576</v>
      </c>
      <c r="B699" s="289"/>
      <c r="C699" s="864"/>
      <c r="D699" s="864"/>
      <c r="E699" s="864"/>
      <c r="F699" s="864"/>
      <c r="G699" s="867"/>
      <c r="H699" s="867"/>
      <c r="I699" s="867"/>
      <c r="J699" s="867"/>
      <c r="K699" s="864"/>
      <c r="L699" s="867"/>
      <c r="M699" s="867"/>
      <c r="N699" s="867"/>
      <c r="O699" s="867"/>
      <c r="P699" s="864"/>
      <c r="Q699" s="867"/>
      <c r="R699" s="867"/>
      <c r="S699" s="867"/>
      <c r="T699" s="867"/>
      <c r="U699" s="864"/>
      <c r="V699" s="867"/>
      <c r="W699" s="867"/>
      <c r="X699" s="867"/>
      <c r="Y699" s="867"/>
      <c r="Z699" s="864"/>
      <c r="AA699" s="867"/>
      <c r="AB699" s="867"/>
      <c r="AC699" s="867"/>
      <c r="AD699" s="867"/>
      <c r="AE699" s="864"/>
      <c r="AF699" s="867"/>
      <c r="AG699" s="867"/>
      <c r="AH699" s="867"/>
      <c r="AI699" s="867"/>
      <c r="AJ699" s="864"/>
      <c r="AK699" s="867"/>
      <c r="AL699" s="867"/>
      <c r="AM699" s="867"/>
      <c r="AN699" s="867"/>
      <c r="AO699" s="864"/>
      <c r="AP699" s="867"/>
      <c r="AQ699" s="867"/>
      <c r="AR699" s="867"/>
      <c r="AS699" s="867"/>
      <c r="AT699" s="864"/>
      <c r="AU699" s="867"/>
      <c r="AV699" s="866">
        <v>-500.02199999999999</v>
      </c>
      <c r="AW699" s="868">
        <v>-600.02200000000005</v>
      </c>
      <c r="AX699" s="867">
        <f t="shared" ref="AX699:BG699" si="704">AW699+AX600</f>
        <v>-600.02200000000005</v>
      </c>
      <c r="AY699" s="864">
        <f>+AX699</f>
        <v>-600.02200000000005</v>
      </c>
      <c r="AZ699" s="867">
        <f t="shared" si="704"/>
        <v>-600.02200000000005</v>
      </c>
      <c r="BA699" s="867">
        <f t="shared" si="704"/>
        <v>-600.02200000000005</v>
      </c>
      <c r="BB699" s="867">
        <f t="shared" si="704"/>
        <v>-600.02200000000005</v>
      </c>
      <c r="BC699" s="867">
        <f t="shared" si="704"/>
        <v>-600.02200000000005</v>
      </c>
      <c r="BD699" s="864">
        <f>+BC699</f>
        <v>-600.02200000000005</v>
      </c>
      <c r="BE699" s="864">
        <f t="shared" si="704"/>
        <v>-600.02200000000005</v>
      </c>
      <c r="BF699" s="864">
        <f t="shared" si="704"/>
        <v>-600.02200000000005</v>
      </c>
      <c r="BG699" s="864">
        <f t="shared" si="704"/>
        <v>-600.02200000000005</v>
      </c>
      <c r="BH699" s="821"/>
    </row>
    <row r="700" spans="1:60" customFormat="1" x14ac:dyDescent="0.25">
      <c r="A700" s="367" t="s">
        <v>222</v>
      </c>
      <c r="B700" s="289"/>
      <c r="C700" s="865">
        <v>0</v>
      </c>
      <c r="D700" s="865">
        <v>51.622</v>
      </c>
      <c r="E700" s="865">
        <v>219.119</v>
      </c>
      <c r="F700" s="865">
        <v>301.61599999999999</v>
      </c>
      <c r="G700" s="866">
        <v>369.80099999999999</v>
      </c>
      <c r="H700" s="866">
        <v>634.98500000000001</v>
      </c>
      <c r="I700" s="866">
        <v>698.67700000000002</v>
      </c>
      <c r="J700" s="866">
        <v>777.44100000000003</v>
      </c>
      <c r="K700" s="865">
        <v>777.44100000000003</v>
      </c>
      <c r="L700" s="866">
        <v>868.19500000000005</v>
      </c>
      <c r="M700" s="866">
        <v>926.52499999999998</v>
      </c>
      <c r="N700" s="866">
        <v>987.25599999999997</v>
      </c>
      <c r="O700" s="866">
        <v>0</v>
      </c>
      <c r="P700" s="865">
        <v>0</v>
      </c>
      <c r="Q700" s="866">
        <v>0</v>
      </c>
      <c r="R700" s="866">
        <v>0</v>
      </c>
      <c r="S700" s="866">
        <v>0</v>
      </c>
      <c r="T700" s="866">
        <v>0</v>
      </c>
      <c r="U700" s="865">
        <v>0</v>
      </c>
      <c r="V700" s="867"/>
      <c r="W700" s="867"/>
      <c r="X700" s="867"/>
      <c r="Y700" s="867">
        <f>Z700</f>
        <v>0</v>
      </c>
      <c r="Z700" s="864"/>
      <c r="AA700" s="867"/>
      <c r="AB700" s="867"/>
      <c r="AC700" s="867"/>
      <c r="AD700" s="867">
        <f>AE700</f>
        <v>0</v>
      </c>
      <c r="AE700" s="864"/>
      <c r="AF700" s="867"/>
      <c r="AG700" s="867"/>
      <c r="AH700" s="867"/>
      <c r="AI700" s="867">
        <f>AJ700</f>
        <v>0</v>
      </c>
      <c r="AJ700" s="864"/>
      <c r="AK700" s="867"/>
      <c r="AL700" s="867"/>
      <c r="AM700" s="867"/>
      <c r="AN700" s="867">
        <f>AO700</f>
        <v>0</v>
      </c>
      <c r="AO700" s="864"/>
      <c r="AP700" s="867"/>
      <c r="AQ700" s="867"/>
      <c r="AR700" s="867"/>
      <c r="AS700" s="867">
        <f>AT700</f>
        <v>0</v>
      </c>
      <c r="AT700" s="864"/>
      <c r="AU700" s="867"/>
      <c r="AV700" s="867"/>
      <c r="AW700" s="868"/>
      <c r="AX700" s="867">
        <f>AW700</f>
        <v>0</v>
      </c>
      <c r="AY700" s="864">
        <f>AX700</f>
        <v>0</v>
      </c>
      <c r="AZ700" s="867">
        <f t="shared" ref="AZ700:BC701" si="705">AY700</f>
        <v>0</v>
      </c>
      <c r="BA700" s="867">
        <f t="shared" si="705"/>
        <v>0</v>
      </c>
      <c r="BB700" s="867">
        <f t="shared" si="705"/>
        <v>0</v>
      </c>
      <c r="BC700" s="867">
        <f t="shared" si="705"/>
        <v>0</v>
      </c>
      <c r="BD700" s="864">
        <f>BC700</f>
        <v>0</v>
      </c>
      <c r="BE700" s="864">
        <f t="shared" ref="BE700:BG701" si="706">BD700</f>
        <v>0</v>
      </c>
      <c r="BF700" s="864">
        <f t="shared" si="706"/>
        <v>0</v>
      </c>
      <c r="BG700" s="864">
        <f t="shared" si="706"/>
        <v>0</v>
      </c>
      <c r="BH700" s="821"/>
    </row>
    <row r="701" spans="1:60" customFormat="1" x14ac:dyDescent="0.25">
      <c r="A701" s="367" t="s">
        <v>223</v>
      </c>
      <c r="B701" s="289"/>
      <c r="C701" s="865">
        <v>0.27300000000000002</v>
      </c>
      <c r="D701" s="865">
        <v>0.75</v>
      </c>
      <c r="E701" s="865">
        <v>0.70599999999999996</v>
      </c>
      <c r="F701" s="865">
        <v>2.919</v>
      </c>
      <c r="G701" s="866">
        <v>0.29099999999999998</v>
      </c>
      <c r="H701" s="866">
        <v>-1.6639999999999999</v>
      </c>
      <c r="I701" s="866">
        <v>1.57</v>
      </c>
      <c r="J701" s="866">
        <v>3.5750000000000002</v>
      </c>
      <c r="K701" s="865">
        <v>3.5750000000000002</v>
      </c>
      <c r="L701" s="866">
        <v>4.5030000000000001</v>
      </c>
      <c r="M701" s="866">
        <v>6.5019999999999998</v>
      </c>
      <c r="N701" s="866">
        <v>1.645</v>
      </c>
      <c r="O701" s="866">
        <v>-4.4459999999999997</v>
      </c>
      <c r="P701" s="865">
        <v>-4.4459999999999997</v>
      </c>
      <c r="Q701" s="866">
        <v>-43.154000000000003</v>
      </c>
      <c r="R701" s="866">
        <v>-38.119999999999997</v>
      </c>
      <c r="S701" s="866">
        <v>-37.89</v>
      </c>
      <c r="T701" s="866">
        <v>-43.308</v>
      </c>
      <c r="U701" s="865">
        <v>-43.308</v>
      </c>
      <c r="V701" s="866">
        <v>-34.401000000000003</v>
      </c>
      <c r="W701" s="866">
        <v>-38.210999999999999</v>
      </c>
      <c r="X701" s="866">
        <v>-36.53</v>
      </c>
      <c r="Y701" s="867">
        <f>Z701</f>
        <v>-48.564999999999998</v>
      </c>
      <c r="Z701" s="864">
        <v>-48.564999999999998</v>
      </c>
      <c r="AA701" s="866">
        <v>-45.859000000000002</v>
      </c>
      <c r="AB701" s="866">
        <v>-31.367999999999999</v>
      </c>
      <c r="AC701" s="866">
        <v>-25.361999999999998</v>
      </c>
      <c r="AD701" s="867">
        <f>AE701</f>
        <v>-20.556999999999999</v>
      </c>
      <c r="AE701" s="864">
        <v>-20.556999999999999</v>
      </c>
      <c r="AF701" s="866">
        <v>4.2640000000000002</v>
      </c>
      <c r="AG701" s="866">
        <v>-12.427</v>
      </c>
      <c r="AH701" s="866">
        <v>-14.507999999999999</v>
      </c>
      <c r="AI701" s="867">
        <f>AJ701</f>
        <v>-19.582000000000001</v>
      </c>
      <c r="AJ701" s="864">
        <v>-19.582000000000001</v>
      </c>
      <c r="AK701" s="866">
        <v>-25.6</v>
      </c>
      <c r="AL701" s="866">
        <v>-20.352</v>
      </c>
      <c r="AM701" s="866">
        <v>-41.246000000000002</v>
      </c>
      <c r="AN701" s="867">
        <f>AO701</f>
        <v>-23.521000000000001</v>
      </c>
      <c r="AO701" s="864">
        <v>-23.521000000000001</v>
      </c>
      <c r="AP701" s="866">
        <v>-47.054000000000002</v>
      </c>
      <c r="AQ701" s="866">
        <v>-34.072000000000003</v>
      </c>
      <c r="AR701" s="866">
        <v>-1.147</v>
      </c>
      <c r="AS701" s="867">
        <f>AT701</f>
        <v>44.398000000000003</v>
      </c>
      <c r="AT701" s="864">
        <v>44.398000000000003</v>
      </c>
      <c r="AU701" s="866">
        <v>4.1369999999999996</v>
      </c>
      <c r="AV701" s="866">
        <v>9.7750000000000004</v>
      </c>
      <c r="AW701" s="878">
        <v>-19.835000000000001</v>
      </c>
      <c r="AX701" s="867">
        <f>AW701</f>
        <v>-19.835000000000001</v>
      </c>
      <c r="AY701" s="864">
        <f>AX701</f>
        <v>-19.835000000000001</v>
      </c>
      <c r="AZ701" s="867">
        <f t="shared" si="705"/>
        <v>-19.835000000000001</v>
      </c>
      <c r="BA701" s="867">
        <f t="shared" si="705"/>
        <v>-19.835000000000001</v>
      </c>
      <c r="BB701" s="867">
        <f t="shared" si="705"/>
        <v>-19.835000000000001</v>
      </c>
      <c r="BC701" s="867">
        <f t="shared" si="705"/>
        <v>-19.835000000000001</v>
      </c>
      <c r="BD701" s="864">
        <f>BC701</f>
        <v>-19.835000000000001</v>
      </c>
      <c r="BE701" s="864">
        <f t="shared" si="706"/>
        <v>-19.835000000000001</v>
      </c>
      <c r="BF701" s="864">
        <f t="shared" si="706"/>
        <v>-19.835000000000001</v>
      </c>
      <c r="BG701" s="864">
        <f t="shared" si="706"/>
        <v>-19.835000000000001</v>
      </c>
      <c r="BH701" s="821"/>
    </row>
    <row r="702" spans="1:60" customFormat="1" x14ac:dyDescent="0.25">
      <c r="A702" s="113" t="s">
        <v>224</v>
      </c>
      <c r="B702" s="441"/>
      <c r="C702" s="886">
        <v>198.81700000000001</v>
      </c>
      <c r="D702" s="886">
        <v>237.739</v>
      </c>
      <c r="E702" s="886">
        <v>422.93</v>
      </c>
      <c r="F702" s="886">
        <v>440.08199999999999</v>
      </c>
      <c r="G702" s="885">
        <v>442.77100000000002</v>
      </c>
      <c r="H702" s="885">
        <v>472.24200000000002</v>
      </c>
      <c r="I702" s="885">
        <v>504.06400000000002</v>
      </c>
      <c r="J702" s="885">
        <v>552.48500000000001</v>
      </c>
      <c r="K702" s="886">
        <v>552.48500000000001</v>
      </c>
      <c r="L702" s="885">
        <v>605.6</v>
      </c>
      <c r="M702" s="885">
        <v>676.61800000000005</v>
      </c>
      <c r="N702" s="885">
        <v>735.91300000000001</v>
      </c>
      <c r="O702" s="885">
        <v>819.28399999999999</v>
      </c>
      <c r="P702" s="886">
        <v>819.28399999999999</v>
      </c>
      <c r="Q702" s="885">
        <v>842.98</v>
      </c>
      <c r="R702" s="885">
        <v>869.31500000000005</v>
      </c>
      <c r="S702" s="885">
        <v>898.74699999999996</v>
      </c>
      <c r="T702" s="885">
        <v>941.92499999999995</v>
      </c>
      <c r="U702" s="886">
        <v>941.92499999999995</v>
      </c>
      <c r="V702" s="885">
        <v>969.58299999999997</v>
      </c>
      <c r="W702" s="885">
        <v>1010.338</v>
      </c>
      <c r="X702" s="885">
        <v>1061.855</v>
      </c>
      <c r="Y702" s="882">
        <f>Z702</f>
        <v>1128.6030000000001</v>
      </c>
      <c r="Z702" s="881">
        <v>1128.6030000000001</v>
      </c>
      <c r="AA702" s="885">
        <v>1350.41</v>
      </c>
      <c r="AB702" s="885">
        <v>1416.01</v>
      </c>
      <c r="AC702" s="885">
        <v>1545.6</v>
      </c>
      <c r="AD702" s="882">
        <f>AE702</f>
        <v>1731.117</v>
      </c>
      <c r="AE702" s="881">
        <v>1731.117</v>
      </c>
      <c r="AF702" s="885">
        <v>2021.241</v>
      </c>
      <c r="AG702" s="885">
        <v>2405.59</v>
      </c>
      <c r="AH702" s="885">
        <v>2808.4250000000002</v>
      </c>
      <c r="AI702" s="882">
        <f>AJ702</f>
        <v>2942.3589999999999</v>
      </c>
      <c r="AJ702" s="881">
        <v>2942.3589999999999</v>
      </c>
      <c r="AK702" s="885">
        <v>3288.8850000000002</v>
      </c>
      <c r="AL702" s="885">
        <v>3559.5349999999999</v>
      </c>
      <c r="AM702" s="885">
        <v>4224.7790000000005</v>
      </c>
      <c r="AN702" s="882">
        <f>AO702</f>
        <v>4811.7489999999998</v>
      </c>
      <c r="AO702" s="881">
        <v>4811.7489999999998</v>
      </c>
      <c r="AP702" s="885">
        <v>5520.8159999999998</v>
      </c>
      <c r="AQ702" s="885">
        <v>6241.0119999999997</v>
      </c>
      <c r="AR702" s="885">
        <v>7030.9880000000003</v>
      </c>
      <c r="AS702" s="882">
        <f>AT702</f>
        <v>7573.1440000000002</v>
      </c>
      <c r="AT702" s="881">
        <v>7573.1440000000002</v>
      </c>
      <c r="AU702" s="885">
        <v>9279.8590000000004</v>
      </c>
      <c r="AV702" s="885">
        <v>10632.871999999999</v>
      </c>
      <c r="AW702" s="891">
        <v>12081.942999999999</v>
      </c>
      <c r="AX702" s="882">
        <f t="shared" ref="AX702:BG702" ca="1" si="707">AW702+AX602+AX555</f>
        <v>12432.294079303587</v>
      </c>
      <c r="AY702" s="881">
        <f ca="1">+AX702</f>
        <v>12432.294079303587</v>
      </c>
      <c r="AZ702" s="882">
        <f t="shared" ca="1" si="707"/>
        <v>14070.280492365364</v>
      </c>
      <c r="BA702" s="882">
        <f t="shared" ca="1" si="707"/>
        <v>15671.449687966586</v>
      </c>
      <c r="BB702" s="882">
        <f t="shared" ca="1" si="707"/>
        <v>17278.613957293623</v>
      </c>
      <c r="BC702" s="882">
        <f t="shared" ca="1" si="707"/>
        <v>18342.999718200816</v>
      </c>
      <c r="BD702" s="881">
        <f ca="1">+BC702</f>
        <v>18342.999718200816</v>
      </c>
      <c r="BE702" s="881">
        <f t="shared" ca="1" si="707"/>
        <v>26039.187040995406</v>
      </c>
      <c r="BF702" s="881">
        <f t="shared" ca="1" si="707"/>
        <v>35783.481655421267</v>
      </c>
      <c r="BG702" s="881">
        <f t="shared" ca="1" si="707"/>
        <v>48397.854555790414</v>
      </c>
      <c r="BH702" s="821"/>
    </row>
    <row r="703" spans="1:60" customFormat="1" x14ac:dyDescent="0.25">
      <c r="A703" s="61" t="s">
        <v>225</v>
      </c>
      <c r="B703" s="505"/>
      <c r="C703" s="872">
        <f t="shared" ref="C703:AH703" si="708">SUM(C698:C702)</f>
        <v>199.143</v>
      </c>
      <c r="D703" s="872">
        <f t="shared" si="708"/>
        <v>290.16399999999999</v>
      </c>
      <c r="E703" s="872">
        <f t="shared" si="708"/>
        <v>642.80999999999995</v>
      </c>
      <c r="F703" s="872">
        <f t="shared" si="708"/>
        <v>744.673</v>
      </c>
      <c r="G703" s="871">
        <f t="shared" si="708"/>
        <v>812.91899999999998</v>
      </c>
      <c r="H703" s="871">
        <f t="shared" si="708"/>
        <v>1105.6220000000001</v>
      </c>
      <c r="I703" s="871">
        <f t="shared" si="708"/>
        <v>1204.3700000000001</v>
      </c>
      <c r="J703" s="871">
        <f t="shared" si="708"/>
        <v>1333.5610000000001</v>
      </c>
      <c r="K703" s="872">
        <f t="shared" si="708"/>
        <v>1333.5610000000001</v>
      </c>
      <c r="L703" s="871">
        <f t="shared" si="708"/>
        <v>1478.3580000000002</v>
      </c>
      <c r="M703" s="871">
        <f t="shared" si="708"/>
        <v>1609.7049999999999</v>
      </c>
      <c r="N703" s="871">
        <f t="shared" si="708"/>
        <v>1724.8739999999998</v>
      </c>
      <c r="O703" s="871">
        <f t="shared" si="708"/>
        <v>1857.7080000000001</v>
      </c>
      <c r="P703" s="872">
        <f t="shared" si="708"/>
        <v>1857.7080000000001</v>
      </c>
      <c r="Q703" s="871">
        <f t="shared" si="708"/>
        <v>1909.2139999999999</v>
      </c>
      <c r="R703" s="871">
        <f t="shared" si="708"/>
        <v>2032.0750000000003</v>
      </c>
      <c r="S703" s="871">
        <f t="shared" si="708"/>
        <v>2167.3179999999998</v>
      </c>
      <c r="T703" s="871">
        <f t="shared" si="708"/>
        <v>2223.4259999999999</v>
      </c>
      <c r="U703" s="872">
        <f t="shared" si="708"/>
        <v>2223.4259999999999</v>
      </c>
      <c r="V703" s="871">
        <f t="shared" si="708"/>
        <v>2317.2329999999997</v>
      </c>
      <c r="W703" s="871">
        <f t="shared" si="708"/>
        <v>2415.8339999999998</v>
      </c>
      <c r="X703" s="871">
        <f t="shared" si="708"/>
        <v>2528.9660000000003</v>
      </c>
      <c r="Y703" s="870">
        <f t="shared" si="708"/>
        <v>2679.8</v>
      </c>
      <c r="Z703" s="869">
        <f t="shared" si="708"/>
        <v>2679.8</v>
      </c>
      <c r="AA703" s="871">
        <f t="shared" si="708"/>
        <v>2973.683</v>
      </c>
      <c r="AB703" s="871">
        <f t="shared" si="708"/>
        <v>3112.5</v>
      </c>
      <c r="AC703" s="871">
        <f t="shared" si="708"/>
        <v>3327.3609999999999</v>
      </c>
      <c r="AD703" s="870">
        <f t="shared" si="708"/>
        <v>3581.9560000000001</v>
      </c>
      <c r="AE703" s="869">
        <f t="shared" si="708"/>
        <v>3581.9560000000001</v>
      </c>
      <c r="AF703" s="871">
        <f t="shared" si="708"/>
        <v>4020.7299999999996</v>
      </c>
      <c r="AG703" s="871">
        <f t="shared" si="708"/>
        <v>4496.6000000000004</v>
      </c>
      <c r="AH703" s="871">
        <f t="shared" si="708"/>
        <v>5009.6530000000002</v>
      </c>
      <c r="AI703" s="870">
        <f t="shared" ref="AI703:AY703" si="709">SUM(AI698:AI702)</f>
        <v>5238.7649999999994</v>
      </c>
      <c r="AJ703" s="869">
        <f t="shared" si="709"/>
        <v>5238.7649999999994</v>
      </c>
      <c r="AK703" s="871">
        <f t="shared" si="709"/>
        <v>5703.0580000000009</v>
      </c>
      <c r="AL703" s="871">
        <f t="shared" si="709"/>
        <v>6105.5479999999998</v>
      </c>
      <c r="AM703" s="871">
        <f t="shared" si="709"/>
        <v>6861.505000000001</v>
      </c>
      <c r="AN703" s="870">
        <f t="shared" si="709"/>
        <v>7582.1569999999992</v>
      </c>
      <c r="AO703" s="869">
        <f t="shared" si="709"/>
        <v>7582.1569999999992</v>
      </c>
      <c r="AP703" s="871">
        <f t="shared" si="709"/>
        <v>8409.2939999999999</v>
      </c>
      <c r="AQ703" s="871">
        <f t="shared" si="709"/>
        <v>9334.7530000000006</v>
      </c>
      <c r="AR703" s="871">
        <f>SUM(AR698:AR702)</f>
        <v>10333.323</v>
      </c>
      <c r="AS703" s="870">
        <f>SUM(AS698:AS702)</f>
        <v>11065.24</v>
      </c>
      <c r="AT703" s="869">
        <f>SUM(AT698:AT702)</f>
        <v>11065.24</v>
      </c>
      <c r="AU703" s="871">
        <f t="shared" ref="AU703" si="710">SUM(AU698:AU702)</f>
        <v>12884.08</v>
      </c>
      <c r="AV703" s="871">
        <f>SUM(AV698:AV702)</f>
        <v>13863.870999999999</v>
      </c>
      <c r="AW703" s="873">
        <f>SUM(AW698:AW702)</f>
        <v>15314.616999999998</v>
      </c>
      <c r="AX703" s="870">
        <f t="shared" ca="1" si="709"/>
        <v>15765.37122165562</v>
      </c>
      <c r="AY703" s="869">
        <f t="shared" ca="1" si="709"/>
        <v>15765.37122165562</v>
      </c>
      <c r="AZ703" s="870">
        <f t="shared" ref="AZ703:BG703" ca="1" si="711">SUM(AZ698:AZ702)</f>
        <v>17507.330292267601</v>
      </c>
      <c r="BA703" s="870">
        <f t="shared" ca="1" si="711"/>
        <v>19215.449045408448</v>
      </c>
      <c r="BB703" s="870">
        <f t="shared" ca="1" si="711"/>
        <v>20932.649619352829</v>
      </c>
      <c r="BC703" s="870">
        <f t="shared" ca="1" si="711"/>
        <v>22110.348288564313</v>
      </c>
      <c r="BD703" s="869">
        <f t="shared" ca="1" si="711"/>
        <v>22110.348288564313</v>
      </c>
      <c r="BE703" s="869">
        <f t="shared" ca="1" si="711"/>
        <v>30296.644749570998</v>
      </c>
      <c r="BF703" s="869">
        <f t="shared" ca="1" si="711"/>
        <v>40598.81793339357</v>
      </c>
      <c r="BG703" s="869">
        <f t="shared" ca="1" si="711"/>
        <v>53849.671803715974</v>
      </c>
      <c r="BH703" s="824"/>
    </row>
    <row r="704" spans="1:60" customFormat="1" x14ac:dyDescent="0.25">
      <c r="A704" s="367" t="s">
        <v>226</v>
      </c>
      <c r="B704" s="289"/>
      <c r="C704" s="864"/>
      <c r="D704" s="864"/>
      <c r="E704" s="864"/>
      <c r="F704" s="864"/>
      <c r="G704" s="867"/>
      <c r="H704" s="867"/>
      <c r="I704" s="867"/>
      <c r="J704" s="867"/>
      <c r="K704" s="864"/>
      <c r="L704" s="867"/>
      <c r="M704" s="867"/>
      <c r="N704" s="867"/>
      <c r="O704" s="867"/>
      <c r="P704" s="864"/>
      <c r="Q704" s="867"/>
      <c r="R704" s="867"/>
      <c r="S704" s="867"/>
      <c r="T704" s="867"/>
      <c r="U704" s="864"/>
      <c r="V704" s="867"/>
      <c r="W704" s="867"/>
      <c r="X704" s="867"/>
      <c r="Y704" s="867"/>
      <c r="Z704" s="864"/>
      <c r="AA704" s="867"/>
      <c r="AB704" s="867"/>
      <c r="AC704" s="867"/>
      <c r="AD704" s="867"/>
      <c r="AE704" s="864"/>
      <c r="AF704" s="867"/>
      <c r="AG704" s="867"/>
      <c r="AH704" s="867"/>
      <c r="AI704" s="867"/>
      <c r="AJ704" s="864"/>
      <c r="AK704" s="867"/>
      <c r="AL704" s="867"/>
      <c r="AM704" s="867"/>
      <c r="AN704" s="867"/>
      <c r="AO704" s="864"/>
      <c r="AP704" s="867"/>
      <c r="AQ704" s="867"/>
      <c r="AR704" s="867"/>
      <c r="AS704" s="867"/>
      <c r="AT704" s="864"/>
      <c r="AU704" s="867"/>
      <c r="AV704" s="867"/>
      <c r="AW704" s="868"/>
      <c r="AX704" s="867">
        <f>AW704</f>
        <v>0</v>
      </c>
      <c r="AY704" s="864">
        <f>AX704</f>
        <v>0</v>
      </c>
      <c r="AZ704" s="867">
        <f t="shared" ref="AZ704:BG704" si="712">AY704</f>
        <v>0</v>
      </c>
      <c r="BA704" s="867">
        <f t="shared" si="712"/>
        <v>0</v>
      </c>
      <c r="BB704" s="867">
        <f t="shared" si="712"/>
        <v>0</v>
      </c>
      <c r="BC704" s="867">
        <f t="shared" si="712"/>
        <v>0</v>
      </c>
      <c r="BD704" s="864">
        <f t="shared" si="712"/>
        <v>0</v>
      </c>
      <c r="BE704" s="864">
        <f t="shared" si="712"/>
        <v>0</v>
      </c>
      <c r="BF704" s="864">
        <f t="shared" si="712"/>
        <v>0</v>
      </c>
      <c r="BG704" s="864">
        <f t="shared" si="712"/>
        <v>0</v>
      </c>
      <c r="BH704" s="821"/>
    </row>
    <row r="705" spans="1:60" customFormat="1" x14ac:dyDescent="0.25">
      <c r="A705" s="63" t="s">
        <v>227</v>
      </c>
      <c r="B705" s="423"/>
      <c r="C705" s="875">
        <f t="shared" ref="C705:AH705" si="713">C703+C695+C704</f>
        <v>679.73400000000004</v>
      </c>
      <c r="D705" s="875">
        <f t="shared" si="713"/>
        <v>982.06700000000001</v>
      </c>
      <c r="E705" s="875">
        <f t="shared" si="713"/>
        <v>3069.1960000000004</v>
      </c>
      <c r="F705" s="875">
        <f t="shared" si="713"/>
        <v>3967.8900000000003</v>
      </c>
      <c r="G705" s="876">
        <f t="shared" si="713"/>
        <v>4363.2889999999998</v>
      </c>
      <c r="H705" s="876">
        <f t="shared" si="713"/>
        <v>4480.7510000000002</v>
      </c>
      <c r="I705" s="876">
        <f t="shared" si="713"/>
        <v>4901.3249999999998</v>
      </c>
      <c r="J705" s="876">
        <f t="shared" si="713"/>
        <v>5412.5630000000001</v>
      </c>
      <c r="K705" s="875">
        <f t="shared" si="713"/>
        <v>5412.5630000000001</v>
      </c>
      <c r="L705" s="876">
        <f t="shared" si="713"/>
        <v>6048.1059999999998</v>
      </c>
      <c r="M705" s="876">
        <f t="shared" si="713"/>
        <v>6325.8220000000001</v>
      </c>
      <c r="N705" s="876">
        <f t="shared" si="713"/>
        <v>6778.3289999999997</v>
      </c>
      <c r="O705" s="876">
        <f t="shared" si="713"/>
        <v>7056.6510000000017</v>
      </c>
      <c r="P705" s="875">
        <f t="shared" si="713"/>
        <v>7056.6510000000017</v>
      </c>
      <c r="Q705" s="876">
        <f t="shared" si="713"/>
        <v>9240.6260000000002</v>
      </c>
      <c r="R705" s="876">
        <f t="shared" si="713"/>
        <v>9654.860999999999</v>
      </c>
      <c r="S705" s="876">
        <f t="shared" si="713"/>
        <v>9916.2669999999998</v>
      </c>
      <c r="T705" s="876">
        <f t="shared" si="713"/>
        <v>10202.870999999999</v>
      </c>
      <c r="U705" s="875">
        <f t="shared" si="713"/>
        <v>10202.870999999999</v>
      </c>
      <c r="V705" s="876">
        <f t="shared" si="713"/>
        <v>11262.273999999999</v>
      </c>
      <c r="W705" s="876">
        <f t="shared" si="713"/>
        <v>11593.506999999998</v>
      </c>
      <c r="X705" s="876">
        <f t="shared" si="713"/>
        <v>12347.338</v>
      </c>
      <c r="Y705" s="879">
        <f t="shared" si="713"/>
        <v>13586.61</v>
      </c>
      <c r="Z705" s="874">
        <f t="shared" si="713"/>
        <v>13586.61</v>
      </c>
      <c r="AA705" s="876">
        <f t="shared" si="713"/>
        <v>14359.096000000001</v>
      </c>
      <c r="AB705" s="876">
        <f t="shared" si="713"/>
        <v>16517.222999999998</v>
      </c>
      <c r="AC705" s="876">
        <f t="shared" si="713"/>
        <v>16951.54</v>
      </c>
      <c r="AD705" s="879">
        <f t="shared" si="713"/>
        <v>19012.741999999998</v>
      </c>
      <c r="AE705" s="874">
        <f t="shared" si="713"/>
        <v>19012.741999999998</v>
      </c>
      <c r="AF705" s="876">
        <f t="shared" si="713"/>
        <v>20152.796999999999</v>
      </c>
      <c r="AG705" s="876">
        <f t="shared" si="713"/>
        <v>22663.536999999997</v>
      </c>
      <c r="AH705" s="876">
        <f t="shared" si="713"/>
        <v>23366.228999999999</v>
      </c>
      <c r="AI705" s="879">
        <f t="shared" ref="AI705:AY705" si="714">AI703+AI695+AI704</f>
        <v>25974.400000000001</v>
      </c>
      <c r="AJ705" s="874">
        <f t="shared" si="714"/>
        <v>25974.400000000001</v>
      </c>
      <c r="AK705" s="876">
        <f t="shared" si="714"/>
        <v>27218.631999999998</v>
      </c>
      <c r="AL705" s="876">
        <f t="shared" si="714"/>
        <v>30171.339</v>
      </c>
      <c r="AM705" s="876">
        <f t="shared" si="714"/>
        <v>30941.710999999999</v>
      </c>
      <c r="AN705" s="879">
        <f t="shared" si="714"/>
        <v>33975.712</v>
      </c>
      <c r="AO705" s="874">
        <f t="shared" si="714"/>
        <v>33975.712</v>
      </c>
      <c r="AP705" s="876">
        <f t="shared" si="714"/>
        <v>35059.910000000003</v>
      </c>
      <c r="AQ705" s="876">
        <f t="shared" si="714"/>
        <v>37175.281000000003</v>
      </c>
      <c r="AR705" s="876">
        <f>AR703+AR695+AR704</f>
        <v>38622.543000000005</v>
      </c>
      <c r="AS705" s="879">
        <f>AS703+AS695+AS704</f>
        <v>39280.358999999997</v>
      </c>
      <c r="AT705" s="874">
        <f>AT703+AT695+AT704</f>
        <v>39280.358999999997</v>
      </c>
      <c r="AU705" s="876">
        <f t="shared" ref="AU705" si="715">AU703+AU695+AU704</f>
        <v>40123.014000000003</v>
      </c>
      <c r="AV705" s="876">
        <f>AV703+AV695+AV704</f>
        <v>40970.968999999997</v>
      </c>
      <c r="AW705" s="877">
        <f>AW703+AW695+AW704</f>
        <v>42739.856999999996</v>
      </c>
      <c r="AX705" s="879">
        <f t="shared" ca="1" si="714"/>
        <v>43670.831139416754</v>
      </c>
      <c r="AY705" s="874">
        <f t="shared" ca="1" si="714"/>
        <v>43670.831139416754</v>
      </c>
      <c r="AZ705" s="879">
        <f t="shared" ref="AZ705:BG705" ca="1" si="716">AZ703+AZ695+AZ704</f>
        <v>45725.565413142569</v>
      </c>
      <c r="BA705" s="879">
        <f t="shared" ca="1" si="716"/>
        <v>47647.139921056187</v>
      </c>
      <c r="BB705" s="879">
        <f t="shared" ca="1" si="716"/>
        <v>49985.403143359945</v>
      </c>
      <c r="BC705" s="879">
        <f t="shared" ca="1" si="716"/>
        <v>51640.84754958337</v>
      </c>
      <c r="BD705" s="874">
        <f t="shared" ca="1" si="716"/>
        <v>51640.84754958337</v>
      </c>
      <c r="BE705" s="874">
        <f t="shared" ca="1" si="716"/>
        <v>61521.406509526467</v>
      </c>
      <c r="BF705" s="874">
        <f t="shared" ca="1" si="716"/>
        <v>73623.459027377146</v>
      </c>
      <c r="BG705" s="874">
        <f t="shared" ca="1" si="716"/>
        <v>88770.083171621794</v>
      </c>
      <c r="BH705" s="824"/>
    </row>
    <row r="706" spans="1:60" customFormat="1" x14ac:dyDescent="0.25">
      <c r="A706" s="822"/>
      <c r="B706" s="822"/>
      <c r="C706" s="867"/>
      <c r="D706" s="867"/>
      <c r="E706" s="867"/>
      <c r="F706" s="867"/>
      <c r="G706" s="867"/>
      <c r="H706" s="867"/>
      <c r="I706" s="867"/>
      <c r="J706" s="867"/>
      <c r="K706" s="867"/>
      <c r="L706" s="867"/>
      <c r="M706" s="867"/>
      <c r="N706" s="867"/>
      <c r="O706" s="867"/>
      <c r="P706" s="867"/>
      <c r="Q706" s="867"/>
      <c r="R706" s="867"/>
      <c r="S706" s="867"/>
      <c r="T706" s="867"/>
      <c r="U706" s="867"/>
      <c r="V706" s="867"/>
      <c r="W706" s="867"/>
      <c r="X706" s="867"/>
      <c r="Y706" s="867"/>
      <c r="Z706" s="867"/>
      <c r="AA706" s="867"/>
      <c r="AB706" s="867"/>
      <c r="AC706" s="867"/>
      <c r="AD706" s="867"/>
      <c r="AE706" s="867"/>
      <c r="AF706" s="867"/>
      <c r="AG706" s="867"/>
      <c r="AH706" s="867"/>
      <c r="AI706" s="867"/>
      <c r="AJ706" s="867"/>
      <c r="AK706" s="867"/>
      <c r="AL706" s="867"/>
      <c r="AM706" s="867"/>
      <c r="AN706" s="867"/>
      <c r="AO706" s="867"/>
      <c r="AP706" s="867"/>
      <c r="AQ706" s="867"/>
      <c r="AR706" s="867"/>
      <c r="AS706" s="867"/>
      <c r="AT706" s="867"/>
      <c r="AU706" s="867"/>
      <c r="AV706" s="867"/>
      <c r="AW706" s="868"/>
      <c r="AX706" s="867"/>
      <c r="AY706" s="867"/>
      <c r="AZ706" s="867"/>
      <c r="BA706" s="867"/>
      <c r="BB706" s="867"/>
      <c r="BC706" s="867"/>
      <c r="BD706" s="867"/>
      <c r="BE706" s="867"/>
      <c r="BF706" s="867"/>
      <c r="BG706" s="867"/>
      <c r="BH706" s="821"/>
    </row>
    <row r="707" spans="1:60" customFormat="1" x14ac:dyDescent="0.25">
      <c r="A707" s="106" t="s">
        <v>228</v>
      </c>
      <c r="B707" s="106"/>
      <c r="C707" s="942">
        <f t="shared" ref="C707:AH707" si="717">ROUND(C674-C705,6)</f>
        <v>0</v>
      </c>
      <c r="D707" s="942">
        <f t="shared" si="717"/>
        <v>0</v>
      </c>
      <c r="E707" s="942">
        <f t="shared" si="717"/>
        <v>0</v>
      </c>
      <c r="F707" s="942">
        <f t="shared" si="717"/>
        <v>0</v>
      </c>
      <c r="G707" s="942">
        <f t="shared" si="717"/>
        <v>0</v>
      </c>
      <c r="H707" s="942">
        <f t="shared" si="717"/>
        <v>0</v>
      </c>
      <c r="I707" s="942">
        <f t="shared" si="717"/>
        <v>0</v>
      </c>
      <c r="J707" s="942">
        <f t="shared" si="717"/>
        <v>0</v>
      </c>
      <c r="K707" s="942">
        <f t="shared" si="717"/>
        <v>0</v>
      </c>
      <c r="L707" s="942">
        <f t="shared" si="717"/>
        <v>0</v>
      </c>
      <c r="M707" s="942">
        <f t="shared" si="717"/>
        <v>0</v>
      </c>
      <c r="N707" s="942">
        <f t="shared" si="717"/>
        <v>0</v>
      </c>
      <c r="O707" s="942">
        <f t="shared" si="717"/>
        <v>0</v>
      </c>
      <c r="P707" s="942">
        <f t="shared" si="717"/>
        <v>0</v>
      </c>
      <c r="Q707" s="942">
        <f t="shared" si="717"/>
        <v>0</v>
      </c>
      <c r="R707" s="942">
        <f t="shared" si="717"/>
        <v>0</v>
      </c>
      <c r="S707" s="942">
        <f t="shared" si="717"/>
        <v>0</v>
      </c>
      <c r="T707" s="942">
        <f t="shared" si="717"/>
        <v>0</v>
      </c>
      <c r="U707" s="942">
        <f t="shared" si="717"/>
        <v>0</v>
      </c>
      <c r="V707" s="942">
        <f t="shared" si="717"/>
        <v>0</v>
      </c>
      <c r="W707" s="942">
        <f t="shared" si="717"/>
        <v>0</v>
      </c>
      <c r="X707" s="942">
        <f t="shared" si="717"/>
        <v>0</v>
      </c>
      <c r="Y707" s="942">
        <f t="shared" si="717"/>
        <v>0</v>
      </c>
      <c r="Z707" s="942">
        <f t="shared" si="717"/>
        <v>0</v>
      </c>
      <c r="AA707" s="942">
        <f t="shared" si="717"/>
        <v>0</v>
      </c>
      <c r="AB707" s="942">
        <f t="shared" si="717"/>
        <v>0</v>
      </c>
      <c r="AC707" s="942">
        <f t="shared" si="717"/>
        <v>0</v>
      </c>
      <c r="AD707" s="942">
        <f t="shared" si="717"/>
        <v>0</v>
      </c>
      <c r="AE707" s="942">
        <f t="shared" si="717"/>
        <v>0</v>
      </c>
      <c r="AF707" s="942">
        <f t="shared" si="717"/>
        <v>0</v>
      </c>
      <c r="AG707" s="942">
        <f t="shared" si="717"/>
        <v>0</v>
      </c>
      <c r="AH707" s="942">
        <f t="shared" si="717"/>
        <v>0</v>
      </c>
      <c r="AI707" s="942">
        <f t="shared" ref="AI707:AY707" si="718">ROUND(AI674-AI705,6)</f>
        <v>0</v>
      </c>
      <c r="AJ707" s="942">
        <f t="shared" si="718"/>
        <v>0</v>
      </c>
      <c r="AK707" s="942">
        <f t="shared" si="718"/>
        <v>0</v>
      </c>
      <c r="AL707" s="942">
        <f t="shared" si="718"/>
        <v>0</v>
      </c>
      <c r="AM707" s="942">
        <f t="shared" si="718"/>
        <v>0</v>
      </c>
      <c r="AN707" s="942">
        <f t="shared" si="718"/>
        <v>0</v>
      </c>
      <c r="AO707" s="942">
        <f t="shared" si="718"/>
        <v>0</v>
      </c>
      <c r="AP707" s="942">
        <f t="shared" si="718"/>
        <v>0</v>
      </c>
      <c r="AQ707" s="942">
        <f t="shared" si="718"/>
        <v>0</v>
      </c>
      <c r="AR707" s="942">
        <f>ROUND(AR674-AR705,6)</f>
        <v>0</v>
      </c>
      <c r="AS707" s="942">
        <f>ROUND(AS674-AS705,6)</f>
        <v>0</v>
      </c>
      <c r="AT707" s="942">
        <f>ROUND(AT674-AT705,6)</f>
        <v>0</v>
      </c>
      <c r="AU707" s="942">
        <f t="shared" ref="AU707" si="719">ROUND(AU674-AU705,6)</f>
        <v>0</v>
      </c>
      <c r="AV707" s="942">
        <f>ROUND(AV674-AV705,6)</f>
        <v>0</v>
      </c>
      <c r="AW707" s="943">
        <f>ROUND(AW674-AW705,6)</f>
        <v>0</v>
      </c>
      <c r="AX707" s="942">
        <f t="shared" ca="1" si="718"/>
        <v>0</v>
      </c>
      <c r="AY707" s="942">
        <f t="shared" ca="1" si="718"/>
        <v>0</v>
      </c>
      <c r="AZ707" s="942">
        <f t="shared" ref="AZ707:BG707" ca="1" si="720">ROUND(AZ674-AZ705,6)</f>
        <v>0</v>
      </c>
      <c r="BA707" s="942">
        <f t="shared" ca="1" si="720"/>
        <v>0</v>
      </c>
      <c r="BB707" s="942">
        <f t="shared" ca="1" si="720"/>
        <v>0</v>
      </c>
      <c r="BC707" s="942">
        <f t="shared" ca="1" si="720"/>
        <v>0</v>
      </c>
      <c r="BD707" s="942">
        <f t="shared" ca="1" si="720"/>
        <v>0</v>
      </c>
      <c r="BE707" s="942">
        <f t="shared" ca="1" si="720"/>
        <v>0</v>
      </c>
      <c r="BF707" s="942">
        <f t="shared" ca="1" si="720"/>
        <v>0</v>
      </c>
      <c r="BG707" s="942">
        <f t="shared" ca="1" si="720"/>
        <v>0</v>
      </c>
      <c r="BH707" s="821"/>
    </row>
    <row r="708" spans="1:60" customFormat="1" x14ac:dyDescent="0.25">
      <c r="A708" s="822"/>
      <c r="B708" s="822"/>
      <c r="C708" s="867"/>
      <c r="D708" s="867"/>
      <c r="E708" s="867"/>
      <c r="F708" s="867"/>
      <c r="G708" s="867"/>
      <c r="H708" s="867"/>
      <c r="I708" s="867"/>
      <c r="J708" s="867"/>
      <c r="K708" s="867"/>
      <c r="L708" s="867"/>
      <c r="M708" s="867"/>
      <c r="N708" s="867"/>
      <c r="O708" s="867"/>
      <c r="P708" s="867"/>
      <c r="Q708" s="867"/>
      <c r="R708" s="867"/>
      <c r="S708" s="867"/>
      <c r="T708" s="867"/>
      <c r="U708" s="867"/>
      <c r="V708" s="867"/>
      <c r="W708" s="867"/>
      <c r="X708" s="867"/>
      <c r="Y708" s="867"/>
      <c r="Z708" s="867"/>
      <c r="AA708" s="867"/>
      <c r="AB708" s="867"/>
      <c r="AC708" s="867"/>
      <c r="AD708" s="867"/>
      <c r="AE708" s="867"/>
      <c r="AF708" s="867"/>
      <c r="AG708" s="867"/>
      <c r="AH708" s="867"/>
      <c r="AI708" s="867"/>
      <c r="AJ708" s="867"/>
      <c r="AK708" s="867"/>
      <c r="AL708" s="867"/>
      <c r="AM708" s="867"/>
      <c r="AN708" s="867"/>
      <c r="AO708" s="867"/>
      <c r="AP708" s="867"/>
      <c r="AQ708" s="867"/>
      <c r="AR708" s="867"/>
      <c r="AS708" s="867"/>
      <c r="AT708" s="867"/>
      <c r="AU708" s="867"/>
      <c r="AV708" s="867"/>
      <c r="AW708" s="868"/>
      <c r="AX708" s="867"/>
      <c r="AY708" s="867"/>
      <c r="AZ708" s="867"/>
      <c r="BA708" s="867"/>
      <c r="BB708" s="867"/>
      <c r="BC708" s="867"/>
      <c r="BD708" s="867"/>
      <c r="BE708" s="867"/>
      <c r="BF708" s="867"/>
      <c r="BG708" s="867"/>
      <c r="BH708" s="821"/>
    </row>
    <row r="709" spans="1:60" customFormat="1" x14ac:dyDescent="0.25">
      <c r="A709" s="832" t="s">
        <v>229</v>
      </c>
      <c r="B709" s="832"/>
      <c r="C709" s="940"/>
      <c r="D709" s="940"/>
      <c r="E709" s="940"/>
      <c r="F709" s="940"/>
      <c r="G709" s="940"/>
      <c r="H709" s="940"/>
      <c r="I709" s="940"/>
      <c r="J709" s="940"/>
      <c r="K709" s="940"/>
      <c r="L709" s="940"/>
      <c r="M709" s="940"/>
      <c r="N709" s="940"/>
      <c r="O709" s="940"/>
      <c r="P709" s="940"/>
      <c r="Q709" s="940"/>
      <c r="R709" s="940"/>
      <c r="S709" s="940"/>
      <c r="T709" s="940"/>
      <c r="U709" s="940"/>
      <c r="V709" s="940"/>
      <c r="W709" s="940"/>
      <c r="X709" s="940"/>
      <c r="Y709" s="940"/>
      <c r="Z709" s="940"/>
      <c r="AA709" s="940"/>
      <c r="AB709" s="940"/>
      <c r="AC709" s="940"/>
      <c r="AD709" s="940"/>
      <c r="AE709" s="940"/>
      <c r="AF709" s="940"/>
      <c r="AG709" s="940"/>
      <c r="AH709" s="940"/>
      <c r="AI709" s="940"/>
      <c r="AJ709" s="940"/>
      <c r="AK709" s="940"/>
      <c r="AL709" s="940"/>
      <c r="AM709" s="940"/>
      <c r="AN709" s="940"/>
      <c r="AO709" s="940"/>
      <c r="AP709" s="940"/>
      <c r="AQ709" s="940"/>
      <c r="AR709" s="940"/>
      <c r="AS709" s="940"/>
      <c r="AT709" s="940"/>
      <c r="AU709" s="940"/>
      <c r="AV709" s="940"/>
      <c r="AW709" s="941"/>
      <c r="AX709" s="940"/>
      <c r="AY709" s="940"/>
      <c r="AZ709" s="940"/>
      <c r="BA709" s="940"/>
      <c r="BB709" s="940"/>
      <c r="BC709" s="940"/>
      <c r="BD709" s="940"/>
      <c r="BE709" s="940"/>
      <c r="BF709" s="940"/>
      <c r="BG709" s="940"/>
      <c r="BH709" s="824"/>
    </row>
    <row r="710" spans="1:60" customFormat="1" x14ac:dyDescent="0.25">
      <c r="A710" s="821" t="s">
        <v>230</v>
      </c>
      <c r="B710" s="818"/>
      <c r="C710" s="942">
        <f t="shared" ref="C710:AH710" si="721">IF(ISBLANK(INDEX(MO_IS_FirstRow,0,COLUMN())),0,ROUND(C555-C406,6))</f>
        <v>0</v>
      </c>
      <c r="D710" s="942">
        <f t="shared" si="721"/>
        <v>0</v>
      </c>
      <c r="E710" s="942">
        <f t="shared" si="721"/>
        <v>0</v>
      </c>
      <c r="F710" s="942">
        <f t="shared" si="721"/>
        <v>0</v>
      </c>
      <c r="G710" s="942">
        <f t="shared" si="721"/>
        <v>0</v>
      </c>
      <c r="H710" s="942">
        <f t="shared" si="721"/>
        <v>0</v>
      </c>
      <c r="I710" s="942">
        <f t="shared" si="721"/>
        <v>0</v>
      </c>
      <c r="J710" s="942">
        <f t="shared" si="721"/>
        <v>0</v>
      </c>
      <c r="K710" s="942">
        <f t="shared" si="721"/>
        <v>0</v>
      </c>
      <c r="L710" s="942">
        <f t="shared" si="721"/>
        <v>0</v>
      </c>
      <c r="M710" s="942">
        <f t="shared" si="721"/>
        <v>0</v>
      </c>
      <c r="N710" s="942">
        <f t="shared" si="721"/>
        <v>0</v>
      </c>
      <c r="O710" s="942">
        <f t="shared" si="721"/>
        <v>0</v>
      </c>
      <c r="P710" s="942">
        <f t="shared" si="721"/>
        <v>0</v>
      </c>
      <c r="Q710" s="942">
        <f t="shared" si="721"/>
        <v>0</v>
      </c>
      <c r="R710" s="942">
        <f t="shared" si="721"/>
        <v>0</v>
      </c>
      <c r="S710" s="942">
        <f t="shared" si="721"/>
        <v>0</v>
      </c>
      <c r="T710" s="942">
        <f t="shared" si="721"/>
        <v>0</v>
      </c>
      <c r="U710" s="942">
        <f t="shared" si="721"/>
        <v>0</v>
      </c>
      <c r="V710" s="942">
        <f t="shared" si="721"/>
        <v>0</v>
      </c>
      <c r="W710" s="942">
        <f t="shared" si="721"/>
        <v>0</v>
      </c>
      <c r="X710" s="942">
        <f t="shared" si="721"/>
        <v>0</v>
      </c>
      <c r="Y710" s="942">
        <f t="shared" si="721"/>
        <v>0</v>
      </c>
      <c r="Z710" s="942">
        <f t="shared" si="721"/>
        <v>0</v>
      </c>
      <c r="AA710" s="942">
        <f t="shared" si="721"/>
        <v>0</v>
      </c>
      <c r="AB710" s="942">
        <f t="shared" si="721"/>
        <v>0</v>
      </c>
      <c r="AC710" s="942">
        <f t="shared" si="721"/>
        <v>0</v>
      </c>
      <c r="AD710" s="942">
        <f t="shared" si="721"/>
        <v>0</v>
      </c>
      <c r="AE710" s="942">
        <f t="shared" si="721"/>
        <v>0</v>
      </c>
      <c r="AF710" s="942">
        <f t="shared" si="721"/>
        <v>0</v>
      </c>
      <c r="AG710" s="942">
        <f t="shared" si="721"/>
        <v>0</v>
      </c>
      <c r="AH710" s="942">
        <f t="shared" si="721"/>
        <v>0</v>
      </c>
      <c r="AI710" s="942">
        <f t="shared" ref="AI710:AY710" si="722">IF(ISBLANK(INDEX(MO_IS_FirstRow,0,COLUMN())),0,ROUND(AI555-AI406,6))</f>
        <v>0</v>
      </c>
      <c r="AJ710" s="942">
        <f t="shared" si="722"/>
        <v>0</v>
      </c>
      <c r="AK710" s="942">
        <f t="shared" si="722"/>
        <v>0</v>
      </c>
      <c r="AL710" s="942">
        <f t="shared" si="722"/>
        <v>0</v>
      </c>
      <c r="AM710" s="942">
        <f t="shared" si="722"/>
        <v>0</v>
      </c>
      <c r="AN710" s="942">
        <f t="shared" si="722"/>
        <v>0</v>
      </c>
      <c r="AO710" s="942">
        <f t="shared" si="722"/>
        <v>0</v>
      </c>
      <c r="AP710" s="942">
        <f t="shared" si="722"/>
        <v>0</v>
      </c>
      <c r="AQ710" s="942">
        <f t="shared" si="722"/>
        <v>0</v>
      </c>
      <c r="AR710" s="942">
        <f>IF(ISBLANK(INDEX(MO_IS_FirstRow,0,COLUMN())),0,ROUND(AR555-AR406,6))</f>
        <v>0</v>
      </c>
      <c r="AS710" s="942">
        <f>IF(ISBLANK(INDEX(MO_IS_FirstRow,0,COLUMN())),0,ROUND(AS555-AS406,6))</f>
        <v>0</v>
      </c>
      <c r="AT710" s="942">
        <f>IF(ISBLANK(INDEX(MO_IS_FirstRow,0,COLUMN())),0,ROUND(AT555-AT406,6))</f>
        <v>0</v>
      </c>
      <c r="AU710" s="942">
        <f t="shared" ref="AU710" si="723">IF(ISBLANK(INDEX(MO_IS_FirstRow,0,COLUMN())),0,ROUND(AU555-AU406,6))</f>
        <v>0</v>
      </c>
      <c r="AV710" s="942">
        <f>IF(ISBLANK(INDEX(MO_IS_FirstRow,0,COLUMN())),0,ROUND(AV555-AV406,6))</f>
        <v>0</v>
      </c>
      <c r="AW710" s="943">
        <f>IF(ISBLANK(INDEX(MO_IS_FirstRow,0,COLUMN())),0,ROUND(AW555-AW406,6))</f>
        <v>0</v>
      </c>
      <c r="AX710" s="942">
        <f t="shared" si="722"/>
        <v>0</v>
      </c>
      <c r="AY710" s="942">
        <f t="shared" si="722"/>
        <v>0</v>
      </c>
      <c r="AZ710" s="942">
        <f t="shared" ref="AZ710:BG710" si="724">IF(ISBLANK(INDEX(MO_IS_FirstRow,0,COLUMN())),0,ROUND(AZ555-AZ406,6))</f>
        <v>0</v>
      </c>
      <c r="BA710" s="942">
        <f t="shared" si="724"/>
        <v>0</v>
      </c>
      <c r="BB710" s="942">
        <f t="shared" si="724"/>
        <v>0</v>
      </c>
      <c r="BC710" s="942">
        <f t="shared" si="724"/>
        <v>0</v>
      </c>
      <c r="BD710" s="942">
        <f t="shared" si="724"/>
        <v>0</v>
      </c>
      <c r="BE710" s="942">
        <f t="shared" si="724"/>
        <v>0</v>
      </c>
      <c r="BF710" s="942">
        <f t="shared" si="724"/>
        <v>0</v>
      </c>
      <c r="BG710" s="942">
        <f t="shared" si="724"/>
        <v>0</v>
      </c>
      <c r="BH710" s="821"/>
    </row>
    <row r="711" spans="1:60" customFormat="1" x14ac:dyDescent="0.25">
      <c r="A711" s="821" t="s">
        <v>231</v>
      </c>
      <c r="B711" s="818"/>
      <c r="C711" s="942">
        <f t="shared" ref="C711:AH711" si="725">IF(ISBLANK(INDEX(MO_IS_FirstRow,0,COLUMN())),0,ROUND(C349-C406,6))</f>
        <v>0</v>
      </c>
      <c r="D711" s="942">
        <f t="shared" si="725"/>
        <v>0</v>
      </c>
      <c r="E711" s="942">
        <f t="shared" si="725"/>
        <v>0</v>
      </c>
      <c r="F711" s="942">
        <f t="shared" si="725"/>
        <v>0</v>
      </c>
      <c r="G711" s="942">
        <f t="shared" si="725"/>
        <v>0</v>
      </c>
      <c r="H711" s="942">
        <f t="shared" si="725"/>
        <v>0</v>
      </c>
      <c r="I711" s="942">
        <f t="shared" si="725"/>
        <v>0</v>
      </c>
      <c r="J711" s="942">
        <f t="shared" si="725"/>
        <v>0</v>
      </c>
      <c r="K711" s="942">
        <f t="shared" si="725"/>
        <v>0</v>
      </c>
      <c r="L711" s="942">
        <f t="shared" si="725"/>
        <v>0</v>
      </c>
      <c r="M711" s="942">
        <f t="shared" si="725"/>
        <v>0</v>
      </c>
      <c r="N711" s="942">
        <f t="shared" si="725"/>
        <v>0</v>
      </c>
      <c r="O711" s="942">
        <f t="shared" si="725"/>
        <v>0</v>
      </c>
      <c r="P711" s="942">
        <f t="shared" si="725"/>
        <v>0</v>
      </c>
      <c r="Q711" s="942">
        <f t="shared" si="725"/>
        <v>0</v>
      </c>
      <c r="R711" s="942">
        <f t="shared" si="725"/>
        <v>0</v>
      </c>
      <c r="S711" s="942">
        <f t="shared" si="725"/>
        <v>0</v>
      </c>
      <c r="T711" s="942">
        <f t="shared" si="725"/>
        <v>0</v>
      </c>
      <c r="U711" s="942">
        <f t="shared" si="725"/>
        <v>0</v>
      </c>
      <c r="V711" s="942">
        <f t="shared" si="725"/>
        <v>0</v>
      </c>
      <c r="W711" s="942">
        <f t="shared" si="725"/>
        <v>0</v>
      </c>
      <c r="X711" s="942">
        <f t="shared" si="725"/>
        <v>0</v>
      </c>
      <c r="Y711" s="942">
        <f t="shared" si="725"/>
        <v>0</v>
      </c>
      <c r="Z711" s="942">
        <f t="shared" si="725"/>
        <v>0</v>
      </c>
      <c r="AA711" s="942">
        <f t="shared" si="725"/>
        <v>0</v>
      </c>
      <c r="AB711" s="942">
        <f t="shared" si="725"/>
        <v>0</v>
      </c>
      <c r="AC711" s="942">
        <f t="shared" si="725"/>
        <v>0</v>
      </c>
      <c r="AD711" s="942">
        <f t="shared" si="725"/>
        <v>0</v>
      </c>
      <c r="AE711" s="942">
        <f t="shared" si="725"/>
        <v>0</v>
      </c>
      <c r="AF711" s="942">
        <f t="shared" si="725"/>
        <v>0</v>
      </c>
      <c r="AG711" s="942">
        <f t="shared" si="725"/>
        <v>0</v>
      </c>
      <c r="AH711" s="942">
        <f t="shared" si="725"/>
        <v>0</v>
      </c>
      <c r="AI711" s="942">
        <f t="shared" ref="AI711:BG711" si="726">IF(ISBLANK(INDEX(MO_IS_FirstRow,0,COLUMN())),0,ROUND(AI349-AI406,6))</f>
        <v>0</v>
      </c>
      <c r="AJ711" s="942">
        <f t="shared" si="726"/>
        <v>0</v>
      </c>
      <c r="AK711" s="942">
        <f t="shared" si="726"/>
        <v>0</v>
      </c>
      <c r="AL711" s="942">
        <f t="shared" si="726"/>
        <v>0</v>
      </c>
      <c r="AM711" s="942">
        <f t="shared" si="726"/>
        <v>0</v>
      </c>
      <c r="AN711" s="942">
        <f t="shared" si="726"/>
        <v>0</v>
      </c>
      <c r="AO711" s="942">
        <f t="shared" si="726"/>
        <v>0</v>
      </c>
      <c r="AP711" s="942">
        <f t="shared" si="726"/>
        <v>0</v>
      </c>
      <c r="AQ711" s="942">
        <f t="shared" si="726"/>
        <v>0</v>
      </c>
      <c r="AR711" s="942">
        <f t="shared" si="726"/>
        <v>0</v>
      </c>
      <c r="AS711" s="942">
        <f t="shared" si="726"/>
        <v>0</v>
      </c>
      <c r="AT711" s="942">
        <f t="shared" si="726"/>
        <v>0</v>
      </c>
      <c r="AU711" s="942">
        <f t="shared" si="726"/>
        <v>0</v>
      </c>
      <c r="AV711" s="942">
        <f t="shared" si="726"/>
        <v>0</v>
      </c>
      <c r="AW711" s="943">
        <f t="shared" si="726"/>
        <v>0</v>
      </c>
      <c r="AX711" s="942">
        <f t="shared" si="726"/>
        <v>0</v>
      </c>
      <c r="AY711" s="942">
        <f t="shared" si="726"/>
        <v>0</v>
      </c>
      <c r="AZ711" s="942">
        <f t="shared" si="726"/>
        <v>0</v>
      </c>
      <c r="BA711" s="942">
        <f t="shared" si="726"/>
        <v>0</v>
      </c>
      <c r="BB711" s="942">
        <f t="shared" si="726"/>
        <v>0</v>
      </c>
      <c r="BC711" s="942">
        <f t="shared" si="726"/>
        <v>0</v>
      </c>
      <c r="BD711" s="942">
        <f t="shared" si="726"/>
        <v>0</v>
      </c>
      <c r="BE711" s="942">
        <f t="shared" si="726"/>
        <v>0</v>
      </c>
      <c r="BF711" s="942">
        <f t="shared" si="726"/>
        <v>0</v>
      </c>
      <c r="BG711" s="942">
        <f t="shared" si="726"/>
        <v>0</v>
      </c>
      <c r="BH711" s="821"/>
    </row>
    <row r="712" spans="1:60" s="57" customFormat="1" x14ac:dyDescent="0.25">
      <c r="A712" s="821" t="s">
        <v>531</v>
      </c>
      <c r="B712" s="818"/>
      <c r="C712" s="942">
        <f t="shared" ref="C712:AH712" si="727">IF(C453&lt;0,C453,0)</f>
        <v>0</v>
      </c>
      <c r="D712" s="942">
        <f t="shared" si="727"/>
        <v>0</v>
      </c>
      <c r="E712" s="942">
        <f t="shared" si="727"/>
        <v>0</v>
      </c>
      <c r="F712" s="942">
        <f t="shared" si="727"/>
        <v>0</v>
      </c>
      <c r="G712" s="942">
        <f t="shared" si="727"/>
        <v>0</v>
      </c>
      <c r="H712" s="942">
        <f t="shared" si="727"/>
        <v>0</v>
      </c>
      <c r="I712" s="942">
        <f t="shared" si="727"/>
        <v>0</v>
      </c>
      <c r="J712" s="942">
        <f t="shared" si="727"/>
        <v>0</v>
      </c>
      <c r="K712" s="942">
        <f t="shared" si="727"/>
        <v>0</v>
      </c>
      <c r="L712" s="942">
        <f t="shared" si="727"/>
        <v>0</v>
      </c>
      <c r="M712" s="942">
        <f t="shared" si="727"/>
        <v>0</v>
      </c>
      <c r="N712" s="942">
        <f t="shared" si="727"/>
        <v>0</v>
      </c>
      <c r="O712" s="942">
        <f t="shared" si="727"/>
        <v>0</v>
      </c>
      <c r="P712" s="942">
        <f t="shared" si="727"/>
        <v>0</v>
      </c>
      <c r="Q712" s="942">
        <f t="shared" si="727"/>
        <v>0</v>
      </c>
      <c r="R712" s="942">
        <f t="shared" si="727"/>
        <v>0</v>
      </c>
      <c r="S712" s="942">
        <f t="shared" si="727"/>
        <v>0</v>
      </c>
      <c r="T712" s="942">
        <f t="shared" si="727"/>
        <v>0</v>
      </c>
      <c r="U712" s="942">
        <f t="shared" si="727"/>
        <v>0</v>
      </c>
      <c r="V712" s="942">
        <f t="shared" si="727"/>
        <v>0</v>
      </c>
      <c r="W712" s="942">
        <f t="shared" si="727"/>
        <v>0</v>
      </c>
      <c r="X712" s="942">
        <f t="shared" si="727"/>
        <v>0</v>
      </c>
      <c r="Y712" s="942">
        <f t="shared" si="727"/>
        <v>0</v>
      </c>
      <c r="Z712" s="942">
        <f t="shared" si="727"/>
        <v>0</v>
      </c>
      <c r="AA712" s="942">
        <f t="shared" si="727"/>
        <v>0</v>
      </c>
      <c r="AB712" s="942">
        <f t="shared" si="727"/>
        <v>0</v>
      </c>
      <c r="AC712" s="942">
        <f t="shared" si="727"/>
        <v>0</v>
      </c>
      <c r="AD712" s="942">
        <f t="shared" si="727"/>
        <v>0</v>
      </c>
      <c r="AE712" s="942">
        <f t="shared" si="727"/>
        <v>0</v>
      </c>
      <c r="AF712" s="942">
        <f t="shared" si="727"/>
        <v>0</v>
      </c>
      <c r="AG712" s="942">
        <f t="shared" si="727"/>
        <v>0</v>
      </c>
      <c r="AH712" s="942">
        <f t="shared" si="727"/>
        <v>0</v>
      </c>
      <c r="AI712" s="942">
        <f t="shared" ref="AI712:AY712" si="728">IF(AI453&lt;0,AI453,0)</f>
        <v>0</v>
      </c>
      <c r="AJ712" s="942">
        <f t="shared" si="728"/>
        <v>0</v>
      </c>
      <c r="AK712" s="942">
        <f t="shared" si="728"/>
        <v>0</v>
      </c>
      <c r="AL712" s="942">
        <f t="shared" si="728"/>
        <v>0</v>
      </c>
      <c r="AM712" s="942">
        <f t="shared" si="728"/>
        <v>0</v>
      </c>
      <c r="AN712" s="942">
        <f t="shared" si="728"/>
        <v>0</v>
      </c>
      <c r="AO712" s="942">
        <f t="shared" si="728"/>
        <v>0</v>
      </c>
      <c r="AP712" s="942">
        <f t="shared" si="728"/>
        <v>0</v>
      </c>
      <c r="AQ712" s="942">
        <f t="shared" si="728"/>
        <v>0</v>
      </c>
      <c r="AR712" s="942">
        <f>IF(AR453&lt;0,AR453,0)</f>
        <v>0</v>
      </c>
      <c r="AS712" s="942">
        <f>IF(AS453&lt;0,AS453,0)</f>
        <v>0</v>
      </c>
      <c r="AT712" s="942">
        <f>IF(AT453&lt;0,AT453,0)</f>
        <v>0</v>
      </c>
      <c r="AU712" s="942">
        <f t="shared" ref="AU712" si="729">IF(AU453&lt;0,AU453,0)</f>
        <v>0</v>
      </c>
      <c r="AV712" s="942">
        <f>IF(AV453&lt;0,AV453,0)</f>
        <v>0</v>
      </c>
      <c r="AW712" s="943">
        <f>IF(AW453&lt;0,AW453,0)</f>
        <v>0</v>
      </c>
      <c r="AX712" s="942">
        <f t="shared" ca="1" si="728"/>
        <v>0</v>
      </c>
      <c r="AY712" s="942">
        <f t="shared" ca="1" si="728"/>
        <v>0</v>
      </c>
      <c r="AZ712" s="942">
        <f t="shared" ref="AZ712:BG712" ca="1" si="730">IF(AZ453&lt;0,AZ453,0)</f>
        <v>0</v>
      </c>
      <c r="BA712" s="942">
        <f t="shared" ca="1" si="730"/>
        <v>0</v>
      </c>
      <c r="BB712" s="942">
        <f t="shared" ca="1" si="730"/>
        <v>0</v>
      </c>
      <c r="BC712" s="942">
        <f t="shared" ca="1" si="730"/>
        <v>0</v>
      </c>
      <c r="BD712" s="942">
        <f t="shared" ca="1" si="730"/>
        <v>0</v>
      </c>
      <c r="BE712" s="942">
        <f t="shared" ca="1" si="730"/>
        <v>0</v>
      </c>
      <c r="BF712" s="942">
        <f t="shared" ca="1" si="730"/>
        <v>0</v>
      </c>
      <c r="BG712" s="942">
        <f t="shared" ca="1" si="730"/>
        <v>0</v>
      </c>
      <c r="BH712" s="821"/>
    </row>
    <row r="713" spans="1:60" s="57" customFormat="1" x14ac:dyDescent="0.25">
      <c r="A713" s="821" t="s">
        <v>532</v>
      </c>
      <c r="B713" s="818"/>
      <c r="C713" s="942">
        <f t="shared" ref="C713:AH713" si="731">IF(C456&lt;0,C456,0)</f>
        <v>0</v>
      </c>
      <c r="D713" s="942">
        <f t="shared" si="731"/>
        <v>0</v>
      </c>
      <c r="E713" s="942">
        <f t="shared" si="731"/>
        <v>0</v>
      </c>
      <c r="F713" s="942">
        <f t="shared" si="731"/>
        <v>0</v>
      </c>
      <c r="G713" s="942">
        <f t="shared" si="731"/>
        <v>0</v>
      </c>
      <c r="H713" s="942">
        <f t="shared" si="731"/>
        <v>0</v>
      </c>
      <c r="I713" s="942">
        <f t="shared" si="731"/>
        <v>0</v>
      </c>
      <c r="J713" s="942">
        <f t="shared" si="731"/>
        <v>0</v>
      </c>
      <c r="K713" s="942">
        <f t="shared" si="731"/>
        <v>0</v>
      </c>
      <c r="L713" s="942">
        <f t="shared" si="731"/>
        <v>0</v>
      </c>
      <c r="M713" s="942">
        <f t="shared" si="731"/>
        <v>0</v>
      </c>
      <c r="N713" s="942">
        <f t="shared" si="731"/>
        <v>0</v>
      </c>
      <c r="O713" s="942">
        <f t="shared" si="731"/>
        <v>0</v>
      </c>
      <c r="P713" s="942">
        <f t="shared" si="731"/>
        <v>0</v>
      </c>
      <c r="Q713" s="942">
        <f t="shared" si="731"/>
        <v>0</v>
      </c>
      <c r="R713" s="942">
        <f t="shared" si="731"/>
        <v>0</v>
      </c>
      <c r="S713" s="942">
        <f t="shared" si="731"/>
        <v>0</v>
      </c>
      <c r="T713" s="942">
        <f t="shared" si="731"/>
        <v>0</v>
      </c>
      <c r="U713" s="942">
        <f t="shared" si="731"/>
        <v>0</v>
      </c>
      <c r="V713" s="942">
        <f t="shared" si="731"/>
        <v>0</v>
      </c>
      <c r="W713" s="942">
        <f t="shared" si="731"/>
        <v>0</v>
      </c>
      <c r="X713" s="942">
        <f t="shared" si="731"/>
        <v>0</v>
      </c>
      <c r="Y713" s="942">
        <f t="shared" si="731"/>
        <v>0</v>
      </c>
      <c r="Z713" s="942">
        <f t="shared" si="731"/>
        <v>0</v>
      </c>
      <c r="AA713" s="942">
        <f t="shared" si="731"/>
        <v>0</v>
      </c>
      <c r="AB713" s="942">
        <f t="shared" si="731"/>
        <v>0</v>
      </c>
      <c r="AC713" s="942">
        <f t="shared" si="731"/>
        <v>0</v>
      </c>
      <c r="AD713" s="942">
        <f t="shared" si="731"/>
        <v>0</v>
      </c>
      <c r="AE713" s="942">
        <f t="shared" si="731"/>
        <v>0</v>
      </c>
      <c r="AF713" s="942">
        <f t="shared" si="731"/>
        <v>0</v>
      </c>
      <c r="AG713" s="942">
        <f t="shared" si="731"/>
        <v>0</v>
      </c>
      <c r="AH713" s="942">
        <f t="shared" si="731"/>
        <v>0</v>
      </c>
      <c r="AI713" s="942">
        <f t="shared" ref="AI713:AY713" si="732">IF(AI456&lt;0,AI456,0)</f>
        <v>0</v>
      </c>
      <c r="AJ713" s="942">
        <f t="shared" si="732"/>
        <v>0</v>
      </c>
      <c r="AK713" s="942">
        <f t="shared" si="732"/>
        <v>0</v>
      </c>
      <c r="AL713" s="942">
        <f t="shared" si="732"/>
        <v>0</v>
      </c>
      <c r="AM713" s="942">
        <f t="shared" si="732"/>
        <v>0</v>
      </c>
      <c r="AN713" s="942">
        <f t="shared" si="732"/>
        <v>0</v>
      </c>
      <c r="AO713" s="942">
        <f t="shared" si="732"/>
        <v>0</v>
      </c>
      <c r="AP713" s="942">
        <f t="shared" si="732"/>
        <v>0</v>
      </c>
      <c r="AQ713" s="942">
        <f t="shared" si="732"/>
        <v>0</v>
      </c>
      <c r="AR713" s="942">
        <f>IF(AR456&lt;0,AR456,0)</f>
        <v>0</v>
      </c>
      <c r="AS713" s="942">
        <f>IF(AS456&lt;0,AS456,0)</f>
        <v>0</v>
      </c>
      <c r="AT713" s="942">
        <f>IF(AT456&lt;0,AT456,0)</f>
        <v>0</v>
      </c>
      <c r="AU713" s="942">
        <f t="shared" ref="AU713" si="733">IF(AU456&lt;0,AU456,0)</f>
        <v>0</v>
      </c>
      <c r="AV713" s="942">
        <f>IF(AV456&lt;0,AV456,0)</f>
        <v>0</v>
      </c>
      <c r="AW713" s="943">
        <f>IF(AW456&lt;0,AW456,0)</f>
        <v>0</v>
      </c>
      <c r="AX713" s="942">
        <f t="shared" si="732"/>
        <v>0</v>
      </c>
      <c r="AY713" s="942">
        <f t="shared" si="732"/>
        <v>0</v>
      </c>
      <c r="AZ713" s="942">
        <f t="shared" ref="AZ713:BG713" si="734">IF(AZ456&lt;0,AZ456,0)</f>
        <v>0</v>
      </c>
      <c r="BA713" s="942">
        <f t="shared" si="734"/>
        <v>0</v>
      </c>
      <c r="BB713" s="942">
        <f t="shared" si="734"/>
        <v>0</v>
      </c>
      <c r="BC713" s="942">
        <f t="shared" si="734"/>
        <v>0</v>
      </c>
      <c r="BD713" s="942">
        <f t="shared" si="734"/>
        <v>0</v>
      </c>
      <c r="BE713" s="942">
        <f t="shared" si="734"/>
        <v>0</v>
      </c>
      <c r="BF713" s="942">
        <f t="shared" si="734"/>
        <v>0</v>
      </c>
      <c r="BG713" s="942">
        <f t="shared" si="734"/>
        <v>0</v>
      </c>
      <c r="BH713" s="821"/>
    </row>
    <row r="714" spans="1:60" customFormat="1" x14ac:dyDescent="0.25">
      <c r="A714" s="821" t="s">
        <v>232</v>
      </c>
      <c r="B714" s="818"/>
      <c r="C714" s="942">
        <f t="shared" ref="C714:AH714" si="735">IF(AND(ISBLANK(C192)),0,ROUND(C379-C192,6))</f>
        <v>0</v>
      </c>
      <c r="D714" s="942">
        <f t="shared" si="735"/>
        <v>0</v>
      </c>
      <c r="E714" s="942">
        <f t="shared" si="735"/>
        <v>0</v>
      </c>
      <c r="F714" s="942">
        <f t="shared" si="735"/>
        <v>0</v>
      </c>
      <c r="G714" s="942">
        <f t="shared" si="735"/>
        <v>0</v>
      </c>
      <c r="H714" s="942">
        <f t="shared" si="735"/>
        <v>0</v>
      </c>
      <c r="I714" s="942">
        <f t="shared" si="735"/>
        <v>0</v>
      </c>
      <c r="J714" s="942">
        <f t="shared" si="735"/>
        <v>0</v>
      </c>
      <c r="K714" s="942">
        <f t="shared" si="735"/>
        <v>0</v>
      </c>
      <c r="L714" s="942">
        <f t="shared" si="735"/>
        <v>0</v>
      </c>
      <c r="M714" s="942">
        <f t="shared" si="735"/>
        <v>0</v>
      </c>
      <c r="N714" s="942">
        <f t="shared" si="735"/>
        <v>0</v>
      </c>
      <c r="O714" s="942">
        <f t="shared" si="735"/>
        <v>0</v>
      </c>
      <c r="P714" s="942">
        <f t="shared" si="735"/>
        <v>0</v>
      </c>
      <c r="Q714" s="942">
        <f t="shared" si="735"/>
        <v>0</v>
      </c>
      <c r="R714" s="942">
        <f t="shared" si="735"/>
        <v>0</v>
      </c>
      <c r="S714" s="942">
        <f t="shared" si="735"/>
        <v>0</v>
      </c>
      <c r="T714" s="942">
        <f t="shared" si="735"/>
        <v>0</v>
      </c>
      <c r="U714" s="942">
        <f t="shared" si="735"/>
        <v>0</v>
      </c>
      <c r="V714" s="942">
        <f t="shared" si="735"/>
        <v>0</v>
      </c>
      <c r="W714" s="942">
        <f t="shared" si="735"/>
        <v>0</v>
      </c>
      <c r="X714" s="942">
        <f t="shared" si="735"/>
        <v>0</v>
      </c>
      <c r="Y714" s="942">
        <f t="shared" si="735"/>
        <v>0</v>
      </c>
      <c r="Z714" s="942">
        <f t="shared" si="735"/>
        <v>0</v>
      </c>
      <c r="AA714" s="942">
        <f t="shared" si="735"/>
        <v>0</v>
      </c>
      <c r="AB714" s="942">
        <f t="shared" si="735"/>
        <v>0</v>
      </c>
      <c r="AC714" s="942">
        <f t="shared" si="735"/>
        <v>0</v>
      </c>
      <c r="AD714" s="942">
        <f t="shared" si="735"/>
        <v>0</v>
      </c>
      <c r="AE714" s="942">
        <f t="shared" si="735"/>
        <v>0</v>
      </c>
      <c r="AF714" s="942">
        <f t="shared" si="735"/>
        <v>0</v>
      </c>
      <c r="AG714" s="942">
        <f t="shared" si="735"/>
        <v>0</v>
      </c>
      <c r="AH714" s="942">
        <f t="shared" si="735"/>
        <v>0</v>
      </c>
      <c r="AI714" s="942">
        <f t="shared" ref="AI714:BG714" si="736">IF(AND(ISBLANK(AI192)),0,ROUND(AI379-AI192,6))</f>
        <v>0</v>
      </c>
      <c r="AJ714" s="942">
        <f t="shared" si="736"/>
        <v>0</v>
      </c>
      <c r="AK714" s="942">
        <f t="shared" si="736"/>
        <v>0</v>
      </c>
      <c r="AL714" s="942">
        <f t="shared" si="736"/>
        <v>0</v>
      </c>
      <c r="AM714" s="942">
        <f t="shared" si="736"/>
        <v>0</v>
      </c>
      <c r="AN714" s="942">
        <f t="shared" si="736"/>
        <v>0</v>
      </c>
      <c r="AO714" s="942">
        <f t="shared" si="736"/>
        <v>0</v>
      </c>
      <c r="AP714" s="942">
        <f t="shared" si="736"/>
        <v>0</v>
      </c>
      <c r="AQ714" s="942">
        <f t="shared" si="736"/>
        <v>0</v>
      </c>
      <c r="AR714" s="942">
        <f t="shared" si="736"/>
        <v>0</v>
      </c>
      <c r="AS714" s="942">
        <f t="shared" si="736"/>
        <v>0</v>
      </c>
      <c r="AT714" s="942">
        <f t="shared" si="736"/>
        <v>0</v>
      </c>
      <c r="AU714" s="942">
        <f t="shared" si="736"/>
        <v>0</v>
      </c>
      <c r="AV714" s="942">
        <f t="shared" si="736"/>
        <v>0</v>
      </c>
      <c r="AW714" s="943">
        <f t="shared" si="736"/>
        <v>0</v>
      </c>
      <c r="AX714" s="942">
        <f t="shared" si="736"/>
        <v>0</v>
      </c>
      <c r="AY714" s="942">
        <f t="shared" si="736"/>
        <v>0</v>
      </c>
      <c r="AZ714" s="942">
        <f t="shared" si="736"/>
        <v>0</v>
      </c>
      <c r="BA714" s="942">
        <f t="shared" si="736"/>
        <v>0</v>
      </c>
      <c r="BB714" s="942">
        <f t="shared" si="736"/>
        <v>0</v>
      </c>
      <c r="BC714" s="942">
        <f t="shared" si="736"/>
        <v>0</v>
      </c>
      <c r="BD714" s="942">
        <f t="shared" si="736"/>
        <v>0</v>
      </c>
      <c r="BE714" s="942">
        <f t="shared" si="736"/>
        <v>0</v>
      </c>
      <c r="BF714" s="942">
        <f t="shared" si="736"/>
        <v>0</v>
      </c>
      <c r="BG714" s="942">
        <f t="shared" si="736"/>
        <v>0</v>
      </c>
      <c r="BH714" s="821"/>
    </row>
    <row r="715" spans="1:60" customFormat="1" x14ac:dyDescent="0.25">
      <c r="A715" s="821" t="s">
        <v>233</v>
      </c>
      <c r="B715" s="818"/>
      <c r="C715" s="942">
        <f>IF(ISBLANK(INDEX(MO_IS_FirstRow,0,COLUMN())),0,IF(OR(C608=B608,C608=D608),"CHECK",0))</f>
        <v>0</v>
      </c>
      <c r="D715" s="942">
        <f>IF(ISBLANK(INDEX(MO_IS_FirstRow,0,COLUMN())),0,IF(OR(D608=C608,D608=E608),"CHECK",0))</f>
        <v>0</v>
      </c>
      <c r="E715" s="942">
        <f>IF(ISBLANK(INDEX(MO_IS_FirstRow,0,COLUMN())),0,IF(OR(E608=D608,E608=F608),"CHECK",0))</f>
        <v>0</v>
      </c>
      <c r="F715" s="942">
        <f>IF(ISBLANK(INDEX(MO_IS_FirstRow,0,COLUMN())),0,IF(OR(F608=E608,F608=K608),"CHECK",0))</f>
        <v>0</v>
      </c>
      <c r="G715" s="942">
        <f>IF(ISBLANK(INDEX(MO_IS_FirstRow,0,COLUMN())),0,IF(OR(G608=B608,G608=H608,G608=E608),"CHECK",0))</f>
        <v>0</v>
      </c>
      <c r="H715" s="942">
        <f>IF(ISBLANK(INDEX(MO_IS_FirstRow,0,COLUMN())),0,IF(OR(H608=C608,H608=I608,H608=G608),"CHECK",0))</f>
        <v>0</v>
      </c>
      <c r="I715" s="942">
        <f>IF(ISBLANK(INDEX(MO_IS_FirstRow,0,COLUMN())),0,IF(OR(I608=D608,I608=J608,I608=H608),"CHECK",0))</f>
        <v>0</v>
      </c>
      <c r="J715" s="942">
        <f>IF(ISBLANK(INDEX(MO_IS_FirstRow,0,COLUMN())),0,IF(OR(J608=E608,J608=K608,J608=I608),"CHECK",0))</f>
        <v>0</v>
      </c>
      <c r="K715" s="942">
        <f>IF(ISBLANK(INDEX(MO_IS_FirstRow,0,COLUMN())),0,IF(K608=F608,"CHECK",0))</f>
        <v>0</v>
      </c>
      <c r="L715" s="942">
        <f>IF(ISBLANK(INDEX(MO_IS_FirstRow,0,COLUMN())),0,IF(OR(L608=G608,L608=M608,L608=J608),"CHECK",0))</f>
        <v>0</v>
      </c>
      <c r="M715" s="942">
        <f>IF(ISBLANK(INDEX(MO_IS_FirstRow,0,COLUMN())),0,IF(OR(M608=H608,M608=N608,M608=L608),"CHECK",0))</f>
        <v>0</v>
      </c>
      <c r="N715" s="942">
        <f>IF(ISBLANK(INDEX(MO_IS_FirstRow,0,COLUMN())),0,IF(OR(N608=I608,N608=O608,N608=M608),"CHECK",0))</f>
        <v>0</v>
      </c>
      <c r="O715" s="942">
        <f>IF(ISBLANK(INDEX(MO_IS_FirstRow,0,COLUMN())),0,IF(OR(O608=J608,O608=P608,O608=N608),"CHECK",0))</f>
        <v>0</v>
      </c>
      <c r="P715" s="942">
        <f>IF(ISBLANK(INDEX(MO_IS_FirstRow,0,COLUMN())),0,IF(P608=K608,"CHECK",0))</f>
        <v>0</v>
      </c>
      <c r="Q715" s="942">
        <f>IF(ISBLANK(INDEX(MO_IS_FirstRow,0,COLUMN())),0,IF(OR(Q608=L608,Q608=R608,Q608=O608),"CHECK",0))</f>
        <v>0</v>
      </c>
      <c r="R715" s="942">
        <f>IF(ISBLANK(INDEX(MO_IS_FirstRow,0,COLUMN())),0,IF(OR(R608=M608,R608=S608,R608=Q608),"CHECK",0))</f>
        <v>0</v>
      </c>
      <c r="S715" s="942">
        <f>IF(ISBLANK(INDEX(MO_IS_FirstRow,0,COLUMN())),0,IF(OR(S608=N608,S608=T608,S608=R608),"CHECK",0))</f>
        <v>0</v>
      </c>
      <c r="T715" s="942">
        <f>IF(ISBLANK(INDEX(MO_IS_FirstRow,0,COLUMN())),0,IF(OR(T608=O608,T608=U608,T608=S608),"CHECK",0))</f>
        <v>0</v>
      </c>
      <c r="U715" s="942">
        <f>IF(ISBLANK(INDEX(MO_IS_FirstRow,0,COLUMN())),0,IF(U608=P608,"CHECK",0))</f>
        <v>0</v>
      </c>
      <c r="V715" s="942">
        <f>IF(ISBLANK(INDEX(MO_IS_FirstRow,0,COLUMN())),0,IF(OR(V608=Q608,V608=W608,V608=T608),"CHECK",0))</f>
        <v>0</v>
      </c>
      <c r="W715" s="942">
        <f>IF(ISBLANK(INDEX(MO_IS_FirstRow,0,COLUMN())),0,IF(OR(W608=R608,W608=X608,W608=V608),"CHECK",0))</f>
        <v>0</v>
      </c>
      <c r="X715" s="942">
        <f>IF(ISBLANK(INDEX(MO_IS_FirstRow,0,COLUMN())),0,IF(OR(X608=S608,X608=Y608,X608=W608),"CHECK",0))</f>
        <v>0</v>
      </c>
      <c r="Y715" s="942">
        <f>IF(ISBLANK(INDEX(MO_IS_FirstRow,0,COLUMN())),0,IF(OR(Y608=T608,Y608=Z608,Y608=X608),"CHECK",0))</f>
        <v>0</v>
      </c>
      <c r="Z715" s="942">
        <f>IF(ISBLANK(INDEX(MO_IS_FirstRow,0,COLUMN())),0,IF(Z608=U608,"CHECK",0))</f>
        <v>0</v>
      </c>
      <c r="AA715" s="942">
        <f>IF(ISBLANK(INDEX(MO_IS_FirstRow,0,COLUMN())),0,IF(OR(AA608=V608,AA608=AB608,AA608=Y608),"CHECK",0))</f>
        <v>0</v>
      </c>
      <c r="AB715" s="942">
        <f>IF(ISBLANK(INDEX(MO_IS_FirstRow,0,COLUMN())),0,IF(OR(AB608=W608,AB608=AC608,AB608=AA608),"CHECK",0))</f>
        <v>0</v>
      </c>
      <c r="AC715" s="942">
        <f>IF(ISBLANK(INDEX(MO_IS_FirstRow,0,COLUMN())),0,IF(OR(AC608=X608,AC608=AD608,AC608=AB608),"CHECK",0))</f>
        <v>0</v>
      </c>
      <c r="AD715" s="942">
        <f>IF(ISBLANK(INDEX(MO_IS_FirstRow,0,COLUMN())),0,IF(OR(AD608=Y608,AD608=AE608,AD608=AC608),"CHECK",0))</f>
        <v>0</v>
      </c>
      <c r="AE715" s="942">
        <f>IF(ISBLANK(INDEX(MO_IS_FirstRow,0,COLUMN())),0,IF(AE608=Z608,"CHECK",0))</f>
        <v>0</v>
      </c>
      <c r="AF715" s="942">
        <f>IF(ISBLANK(INDEX(MO_IS_FirstRow,0,COLUMN())),0,IF(OR(AF608=AA608,AF608=AG608,AF608=AD608),"CHECK",0))</f>
        <v>0</v>
      </c>
      <c r="AG715" s="942">
        <f>IF(ISBLANK(INDEX(MO_IS_FirstRow,0,COLUMN())),0,IF(OR(AG608=AB608,AG608=AH608,AG608=AF608),"CHECK",0))</f>
        <v>0</v>
      </c>
      <c r="AH715" s="942">
        <f>IF(ISBLANK(INDEX(MO_IS_FirstRow,0,COLUMN())),0,IF(OR(AH608=AC608,AH608=AI608,AH608=AG608),"CHECK",0))</f>
        <v>0</v>
      </c>
      <c r="AI715" s="942">
        <f>IF(ISBLANK(INDEX(MO_IS_FirstRow,0,COLUMN())),0,IF(OR(AI608=AD608,AI608=AJ608,AI608=AH608),"CHECK",0))</f>
        <v>0</v>
      </c>
      <c r="AJ715" s="942">
        <f>IF(ISBLANK(INDEX(MO_IS_FirstRow,0,COLUMN())),0,IF(AJ608=AE608,"CHECK",0))</f>
        <v>0</v>
      </c>
      <c r="AK715" s="942">
        <f>IF(ISBLANK(INDEX(MO_IS_FirstRow,0,COLUMN())),0,IF(OR(AK608=AF608,AK608=AL608,AK608=AI608),"CHECK",0))</f>
        <v>0</v>
      </c>
      <c r="AL715" s="942">
        <f>IF(ISBLANK(INDEX(MO_IS_FirstRow,0,COLUMN())),0,IF(OR(AL608=AG608,AL608=AM608,AL608=AK608),"CHECK",0))</f>
        <v>0</v>
      </c>
      <c r="AM715" s="942">
        <f>IF(ISBLANK(INDEX(MO_IS_FirstRow,0,COLUMN())),0,IF(OR(AM608=AH608,AM608=AN608,AM608=AL608),"CHECK",0))</f>
        <v>0</v>
      </c>
      <c r="AN715" s="942">
        <f>IF(ISBLANK(INDEX(MO_IS_FirstRow,0,COLUMN())),0,IF(OR(AN608=AI608,AN608=AO608,AN608=AM608),"CHECK",0))</f>
        <v>0</v>
      </c>
      <c r="AO715" s="942">
        <f>IF(ISBLANK(INDEX(MO_IS_FirstRow,0,COLUMN())),0,IF(AO608=AJ608,"CHECK",0))</f>
        <v>0</v>
      </c>
      <c r="AP715" s="942">
        <f>IF(ISBLANK(INDEX(MO_IS_FirstRow,0,COLUMN())),0,IF(OR(AP608=AK608,AP608=AQ608,AP608=AN608),"CHECK",0))</f>
        <v>0</v>
      </c>
      <c r="AQ715" s="942">
        <f>IF(ISBLANK(INDEX(MO_IS_FirstRow,0,COLUMN())),0,IF(OR(AQ608=AL608,AQ608=AR608,AQ608=AP608),"CHECK",0))</f>
        <v>0</v>
      </c>
      <c r="AR715" s="942">
        <f>IF(ISBLANK(INDEX(MO_IS_FirstRow,0,COLUMN())),0,IF(OR(AR608=AM608,AR608=AS608,AR608=AQ608),"CHECK",0))</f>
        <v>0</v>
      </c>
      <c r="AS715" s="942">
        <f>IF(ISBLANK(INDEX(MO_IS_FirstRow,0,COLUMN())),0,IF(OR(AS608=AN608,AS608=AT608,AS608=AR608),"CHECK",0))</f>
        <v>0</v>
      </c>
      <c r="AT715" s="942">
        <f>IF(ISBLANK(INDEX(MO_IS_FirstRow,0,COLUMN())),0,IF(AT608=AO608,"CHECK",0))</f>
        <v>0</v>
      </c>
      <c r="AU715" s="942">
        <f>IF(ISBLANK(INDEX(MO_IS_FirstRow,0,COLUMN())),0,IF(OR(AU608=AP608,AU608=AV608,AU608=AS608),"CHECK",0))</f>
        <v>0</v>
      </c>
      <c r="AV715" s="942">
        <f>IF(ISBLANK(INDEX(MO_IS_FirstRow,0,COLUMN())),0,IF(OR(AV608=AQ608,AV608=AW608,AV608=AU608),"CHECK",0))</f>
        <v>0</v>
      </c>
      <c r="AW715" s="943">
        <f ca="1">IF(ISBLANK(INDEX(MO_IS_FirstRow,0,COLUMN())),0,IF(OR(AW608=AR608,AW608=AX608,AW608=AV608),"CHECK",0))</f>
        <v>0</v>
      </c>
      <c r="AX715" s="942"/>
      <c r="AY715" s="942"/>
      <c r="AZ715" s="942"/>
      <c r="BA715" s="942"/>
      <c r="BB715" s="942"/>
      <c r="BC715" s="942"/>
      <c r="BD715" s="942"/>
      <c r="BE715" s="942"/>
      <c r="BF715" s="942"/>
      <c r="BG715" s="942"/>
      <c r="BH715" s="821"/>
    </row>
    <row r="716" spans="1:60" customFormat="1" x14ac:dyDescent="0.25">
      <c r="A716" s="821" t="s">
        <v>234</v>
      </c>
      <c r="B716" s="818"/>
      <c r="C716" s="942">
        <f>IF(ISBLANK(INDEX(MO_IS_FirstRow,0,COLUMN())),0,IF(OR(C406=B406,C406=D406),"CHECK",0))</f>
        <v>0</v>
      </c>
      <c r="D716" s="942">
        <f>IF(ISBLANK(INDEX(MO_IS_FirstRow,0,COLUMN())),0,IF(OR(D406=C406,D406=E406),"CHECK",0))</f>
        <v>0</v>
      </c>
      <c r="E716" s="942">
        <f>IF(ISBLANK(INDEX(MO_IS_FirstRow,0,COLUMN())),0,IF(OR(E406=D406,E406=F406),"CHECK",0))</f>
        <v>0</v>
      </c>
      <c r="F716" s="942">
        <f>IF(ISBLANK(INDEX(MO_IS_FirstRow,0,COLUMN())),0,IF(OR(F406=E406,F406=K406),"CHECK",0))</f>
        <v>0</v>
      </c>
      <c r="G716" s="942">
        <f>IF(ISBLANK(INDEX(MO_IS_FirstRow,0,COLUMN())),0,IF(OR(G406=B406,G406=H406,G406=E406),"CHECK",0))</f>
        <v>0</v>
      </c>
      <c r="H716" s="942">
        <f>IF(ISBLANK(INDEX(MO_IS_FirstRow,0,COLUMN())),0,IF(OR(H406=C406,H406=I406,H406=G406),"CHECK",0))</f>
        <v>0</v>
      </c>
      <c r="I716" s="942">
        <f>IF(ISBLANK(INDEX(MO_IS_FirstRow,0,COLUMN())),0,IF(OR(I406=D406,I406=J406,I406=H406),"CHECK",0))</f>
        <v>0</v>
      </c>
      <c r="J716" s="942">
        <f>IF(ISBLANK(INDEX(MO_IS_FirstRow,0,COLUMN())),0,IF(OR(J406=E406,J406=K406,J406=I406),"CHECK",0))</f>
        <v>0</v>
      </c>
      <c r="K716" s="942">
        <f>IF(ISBLANK(INDEX(MO_IS_FirstRow,0,COLUMN())),0,IF(K406=F406,"CHECK",0))</f>
        <v>0</v>
      </c>
      <c r="L716" s="942">
        <f>IF(ISBLANK(INDEX(MO_IS_FirstRow,0,COLUMN())),0,IF(OR(L406=G406,L406=M406,L406=J406),"CHECK",0))</f>
        <v>0</v>
      </c>
      <c r="M716" s="942">
        <f>IF(ISBLANK(INDEX(MO_IS_FirstRow,0,COLUMN())),0,IF(OR(M406=H406,M406=N406,M406=L406),"CHECK",0))</f>
        <v>0</v>
      </c>
      <c r="N716" s="942">
        <f>IF(ISBLANK(INDEX(MO_IS_FirstRow,0,COLUMN())),0,IF(OR(N406=I406,N406=O406,N406=M406),"CHECK",0))</f>
        <v>0</v>
      </c>
      <c r="O716" s="942">
        <f>IF(ISBLANK(INDEX(MO_IS_FirstRow,0,COLUMN())),0,IF(OR(O406=J406,O406=P406,O406=N406),"CHECK",0))</f>
        <v>0</v>
      </c>
      <c r="P716" s="942">
        <f>IF(ISBLANK(INDEX(MO_IS_FirstRow,0,COLUMN())),0,IF(P406=K406,"CHECK",0))</f>
        <v>0</v>
      </c>
      <c r="Q716" s="942">
        <f>IF(ISBLANK(INDEX(MO_IS_FirstRow,0,COLUMN())),0,IF(OR(Q406=L406,Q406=R406,Q406=O406),"CHECK",0))</f>
        <v>0</v>
      </c>
      <c r="R716" s="942">
        <f>IF(ISBLANK(INDEX(MO_IS_FirstRow,0,COLUMN())),0,IF(OR(R406=M406,R406=S406,R406=Q406),"CHECK",0))</f>
        <v>0</v>
      </c>
      <c r="S716" s="942">
        <f>IF(ISBLANK(INDEX(MO_IS_FirstRow,0,COLUMN())),0,IF(OR(S406=N406,S406=T406,S406=R406),"CHECK",0))</f>
        <v>0</v>
      </c>
      <c r="T716" s="942">
        <f>IF(ISBLANK(INDEX(MO_IS_FirstRow,0,COLUMN())),0,IF(OR(T406=O406,T406=U406,T406=S406),"CHECK",0))</f>
        <v>0</v>
      </c>
      <c r="U716" s="942">
        <f>IF(ISBLANK(INDEX(MO_IS_FirstRow,0,COLUMN())),0,IF(U406=P406,"CHECK",0))</f>
        <v>0</v>
      </c>
      <c r="V716" s="942">
        <f>IF(ISBLANK(INDEX(MO_IS_FirstRow,0,COLUMN())),0,IF(OR(V406=Q406,V406=W406,V406=T406),"CHECK",0))</f>
        <v>0</v>
      </c>
      <c r="W716" s="942">
        <f>IF(ISBLANK(INDEX(MO_IS_FirstRow,0,COLUMN())),0,IF(OR(W406=R406,W406=X406,W406=V406),"CHECK",0))</f>
        <v>0</v>
      </c>
      <c r="X716" s="942">
        <f>IF(ISBLANK(INDEX(MO_IS_FirstRow,0,COLUMN())),0,IF(OR(X406=S406,X406=Y406,X406=W406),"CHECK",0))</f>
        <v>0</v>
      </c>
      <c r="Y716" s="942">
        <f>IF(ISBLANK(INDEX(MO_IS_FirstRow,0,COLUMN())),0,IF(OR(Y406=T406,Y406=Z406,Y406=X406),"CHECK",0))</f>
        <v>0</v>
      </c>
      <c r="Z716" s="942">
        <f>IF(ISBLANK(INDEX(MO_IS_FirstRow,0,COLUMN())),0,IF(Z406=U406,"CHECK",0))</f>
        <v>0</v>
      </c>
      <c r="AA716" s="942">
        <f>IF(ISBLANK(INDEX(MO_IS_FirstRow,0,COLUMN())),0,IF(OR(AA406=V406,AA406=AB406,AA406=Y406),"CHECK",0))</f>
        <v>0</v>
      </c>
      <c r="AB716" s="942">
        <f>IF(ISBLANK(INDEX(MO_IS_FirstRow,0,COLUMN())),0,IF(OR(AB406=W406,AB406=AC406,AB406=AA406),"CHECK",0))</f>
        <v>0</v>
      </c>
      <c r="AC716" s="942">
        <f>IF(ISBLANK(INDEX(MO_IS_FirstRow,0,COLUMN())),0,IF(OR(AC406=X406,AC406=AD406,AC406=AB406),"CHECK",0))</f>
        <v>0</v>
      </c>
      <c r="AD716" s="942">
        <f>IF(ISBLANK(INDEX(MO_IS_FirstRow,0,COLUMN())),0,IF(OR(AD406=Y406,AD406=AE406,AD406=AC406),"CHECK",0))</f>
        <v>0</v>
      </c>
      <c r="AE716" s="942">
        <f>IF(ISBLANK(INDEX(MO_IS_FirstRow,0,COLUMN())),0,IF(AE406=Z406,"CHECK",0))</f>
        <v>0</v>
      </c>
      <c r="AF716" s="942">
        <f>IF(ISBLANK(INDEX(MO_IS_FirstRow,0,COLUMN())),0,IF(OR(AF406=AA406,AF406=AG406,AF406=AD406),"CHECK",0))</f>
        <v>0</v>
      </c>
      <c r="AG716" s="942">
        <f>IF(ISBLANK(INDEX(MO_IS_FirstRow,0,COLUMN())),0,IF(OR(AG406=AB406,AG406=AH406,AG406=AF406),"CHECK",0))</f>
        <v>0</v>
      </c>
      <c r="AH716" s="942">
        <f>IF(ISBLANK(INDEX(MO_IS_FirstRow,0,COLUMN())),0,IF(OR(AH406=AC406,AH406=AI406,AH406=AG406),"CHECK",0))</f>
        <v>0</v>
      </c>
      <c r="AI716" s="942">
        <f>IF(ISBLANK(INDEX(MO_IS_FirstRow,0,COLUMN())),0,IF(OR(AI406=AD406,AI406=AJ406,AI406=AH406),"CHECK",0))</f>
        <v>0</v>
      </c>
      <c r="AJ716" s="942">
        <f>IF(ISBLANK(INDEX(MO_IS_FirstRow,0,COLUMN())),0,IF(AJ406=AE406,"CHECK",0))</f>
        <v>0</v>
      </c>
      <c r="AK716" s="942">
        <f>IF(ISBLANK(INDEX(MO_IS_FirstRow,0,COLUMN())),0,IF(OR(AK406=AF406,AK406=AL406,AK406=AI406),"CHECK",0))</f>
        <v>0</v>
      </c>
      <c r="AL716" s="942">
        <f>IF(ISBLANK(INDEX(MO_IS_FirstRow,0,COLUMN())),0,IF(OR(AL406=AG406,AL406=AM406,AL406=AK406),"CHECK",0))</f>
        <v>0</v>
      </c>
      <c r="AM716" s="942">
        <f>IF(ISBLANK(INDEX(MO_IS_FirstRow,0,COLUMN())),0,IF(OR(AM406=AH406,AM406=AN406,AM406=AL406),"CHECK",0))</f>
        <v>0</v>
      </c>
      <c r="AN716" s="942">
        <f>IF(ISBLANK(INDEX(MO_IS_FirstRow,0,COLUMN())),0,IF(OR(AN406=AI406,AN406=AO406,AN406=AM406),"CHECK",0))</f>
        <v>0</v>
      </c>
      <c r="AO716" s="942">
        <f>IF(ISBLANK(INDEX(MO_IS_FirstRow,0,COLUMN())),0,IF(AO406=AJ406,"CHECK",0))</f>
        <v>0</v>
      </c>
      <c r="AP716" s="942">
        <f>IF(ISBLANK(INDEX(MO_IS_FirstRow,0,COLUMN())),0,IF(OR(AP406=AK406,AP406=AQ406,AP406=AN406),"CHECK",0))</f>
        <v>0</v>
      </c>
      <c r="AQ716" s="942">
        <f>IF(ISBLANK(INDEX(MO_IS_FirstRow,0,COLUMN())),0,IF(OR(AQ406=AL406,AQ406=AR406,AQ406=AP406),"CHECK",0))</f>
        <v>0</v>
      </c>
      <c r="AR716" s="942">
        <f>IF(ISBLANK(INDEX(MO_IS_FirstRow,0,COLUMN())),0,IF(OR(AR406=AM406,AR406=AS406,AR406=AQ406),"CHECK",0))</f>
        <v>0</v>
      </c>
      <c r="AS716" s="942">
        <f>IF(ISBLANK(INDEX(MO_IS_FirstRow,0,COLUMN())),0,IF(OR(AS406=AN406,AS406=AT406,AS406=AR406),"CHECK",0))</f>
        <v>0</v>
      </c>
      <c r="AT716" s="942">
        <f>IF(ISBLANK(INDEX(MO_IS_FirstRow,0,COLUMN())),0,IF(AT406=AO406,"CHECK",0))</f>
        <v>0</v>
      </c>
      <c r="AU716" s="942">
        <f>IF(ISBLANK(INDEX(MO_IS_FirstRow,0,COLUMN())),0,IF(OR(AU406=AP406,AU406=AV406,AU406=AS406),"CHECK",0))</f>
        <v>0</v>
      </c>
      <c r="AV716" s="942">
        <f>IF(ISBLANK(INDEX(MO_IS_FirstRow,0,COLUMN())),0,IF(OR(AV406=AQ406,AV406=AW406,AV406=AU406),"CHECK",0))</f>
        <v>0</v>
      </c>
      <c r="AW716" s="943">
        <f>IF(ISBLANK(INDEX(MO_IS_FirstRow,0,COLUMN())),0,IF(OR(AW406=AR406,AW406=AX406,AW406=AV406),"CHECK",0))</f>
        <v>0</v>
      </c>
      <c r="AX716" s="942"/>
      <c r="AY716" s="942"/>
      <c r="AZ716" s="942"/>
      <c r="BA716" s="942"/>
      <c r="BB716" s="942"/>
      <c r="BC716" s="942"/>
      <c r="BD716" s="942"/>
      <c r="BE716" s="942"/>
      <c r="BF716" s="942"/>
      <c r="BG716" s="942"/>
      <c r="BH716" s="821"/>
    </row>
    <row r="717" spans="1:60" customFormat="1" x14ac:dyDescent="0.25">
      <c r="A717" s="821" t="s">
        <v>235</v>
      </c>
      <c r="B717" s="818"/>
      <c r="C717" s="942">
        <f>IF(OR(C674=B674,C674=D674),"CHECK",0)</f>
        <v>0</v>
      </c>
      <c r="D717" s="942">
        <f>IF(OR(D674=C674,D674=E674),"CHECK",0)</f>
        <v>0</v>
      </c>
      <c r="E717" s="942">
        <f>IF(OR(E674=D674,E674=F674),"CHECK",0)</f>
        <v>0</v>
      </c>
      <c r="F717" s="942">
        <f>IF(OR(F674=E674,F674=K674),"CHECK",0)</f>
        <v>0</v>
      </c>
      <c r="G717" s="942">
        <f>IF(OR(G674=B674,G674=H674,G674=E674),"CHECK",0)</f>
        <v>0</v>
      </c>
      <c r="H717" s="942">
        <f>IF(OR(H674=C674,H674=I674,H674=G674),"CHECK",0)</f>
        <v>0</v>
      </c>
      <c r="I717" s="942">
        <f>IF(OR(I674=D674,I674=J674,I674=H674),"CHECK",0)</f>
        <v>0</v>
      </c>
      <c r="J717" s="942">
        <f>IF(OR(J674=E674,J674=I674),"CHECK",0)</f>
        <v>0</v>
      </c>
      <c r="K717" s="942">
        <f>IF(K674=F674,"CHECK",0)</f>
        <v>0</v>
      </c>
      <c r="L717" s="942">
        <f>IF(OR(L674=G674,L674=M674,L674=J674),"CHECK",0)</f>
        <v>0</v>
      </c>
      <c r="M717" s="942">
        <f>IF(OR(M674=H674,M674=N674,M674=L674),"CHECK",0)</f>
        <v>0</v>
      </c>
      <c r="N717" s="942">
        <f>IF(OR(N674=I674,N674=O674,N674=M674),"CHECK",0)</f>
        <v>0</v>
      </c>
      <c r="O717" s="942">
        <f>IF(OR(O674=J674,O674=N674),"CHECK",0)</f>
        <v>0</v>
      </c>
      <c r="P717" s="942">
        <f>IF(P674=K674,"CHECK",0)</f>
        <v>0</v>
      </c>
      <c r="Q717" s="942">
        <f>IF(OR(Q674=L674,Q674=R674,Q674=O674),"CHECK",0)</f>
        <v>0</v>
      </c>
      <c r="R717" s="942">
        <f>IF(OR(R674=M674,R674=S674,R674=Q674),"CHECK",0)</f>
        <v>0</v>
      </c>
      <c r="S717" s="942">
        <f>IF(OR(S674=N674,S674=T674,S674=R674),"CHECK",0)</f>
        <v>0</v>
      </c>
      <c r="T717" s="942">
        <f>IF(OR(T674=O674,T674=S674),"CHECK",0)</f>
        <v>0</v>
      </c>
      <c r="U717" s="942">
        <f>IF(U674=P674,"CHECK",0)</f>
        <v>0</v>
      </c>
      <c r="V717" s="942">
        <f>IF(OR(V674=Q674,V674=W674,V674=T674),"CHECK",0)</f>
        <v>0</v>
      </c>
      <c r="W717" s="942">
        <f>IF(OR(W674=R674,W674=X674,W674=V674),"CHECK",0)</f>
        <v>0</v>
      </c>
      <c r="X717" s="942">
        <f>IF(OR(X674=S674,X674=Y674,X674=W674),"CHECK",0)</f>
        <v>0</v>
      </c>
      <c r="Y717" s="942">
        <f>IF(OR(Y674=T674,Y674=X674),"CHECK",0)</f>
        <v>0</v>
      </c>
      <c r="Z717" s="942">
        <f>IF(Z674=U674,"CHECK",0)</f>
        <v>0</v>
      </c>
      <c r="AA717" s="942">
        <f>IF(OR(AA674=V674,AA674=AB674,AA674=Y674),"CHECK",0)</f>
        <v>0</v>
      </c>
      <c r="AB717" s="942">
        <f>IF(OR(AB674=W674,AB674=AC674,AB674=AA674),"CHECK",0)</f>
        <v>0</v>
      </c>
      <c r="AC717" s="942">
        <f>IF(OR(AC674=X674,AC674=AD674,AC674=AB674),"CHECK",0)</f>
        <v>0</v>
      </c>
      <c r="AD717" s="942">
        <f>IF(OR(AD674=Y674,AD674=AC674),"CHECK",0)</f>
        <v>0</v>
      </c>
      <c r="AE717" s="942">
        <f>IF(AE674=Z674,"CHECK",0)</f>
        <v>0</v>
      </c>
      <c r="AF717" s="942">
        <f>IF(OR(AF674=AA674,AF674=AG674,AF674=AD674),"CHECK",0)</f>
        <v>0</v>
      </c>
      <c r="AG717" s="942">
        <f>IF(OR(AG674=AB674,AG674=AH674,AG674=AF674),"CHECK",0)</f>
        <v>0</v>
      </c>
      <c r="AH717" s="942">
        <f>IF(OR(AH674=AC674,AH674=AI674,AH674=AG674),"CHECK",0)</f>
        <v>0</v>
      </c>
      <c r="AI717" s="942">
        <f>IF(OR(AI674=AD674,AI674=AH674),"CHECK",0)</f>
        <v>0</v>
      </c>
      <c r="AJ717" s="942">
        <f>IF(AJ674=AE674,"CHECK",0)</f>
        <v>0</v>
      </c>
      <c r="AK717" s="942">
        <f>IF(OR(AK674=AF674,AK674=AL674,AK674=AI674),"CHECK",0)</f>
        <v>0</v>
      </c>
      <c r="AL717" s="942">
        <f>IF(OR(AL674=AG674,AL674=AM674,AL674=AK674),"CHECK",0)</f>
        <v>0</v>
      </c>
      <c r="AM717" s="942">
        <f>IF(OR(AM674=AH674,AM674=AN674,AM674=AL674),"CHECK",0)</f>
        <v>0</v>
      </c>
      <c r="AN717" s="942">
        <f>IF(OR(AN674=AI674,AN674=AM674),"CHECK",0)</f>
        <v>0</v>
      </c>
      <c r="AO717" s="942">
        <f>IF(AO674=AJ674,"CHECK",0)</f>
        <v>0</v>
      </c>
      <c r="AP717" s="942">
        <f>IF(OR(AP674=AK674,AP674=AQ674,AP674=AN674),"CHECK",0)</f>
        <v>0</v>
      </c>
      <c r="AQ717" s="942">
        <f>IF(OR(AQ674=AL674,AQ674=AR674,AQ674=AP674),"CHECK",0)</f>
        <v>0</v>
      </c>
      <c r="AR717" s="942">
        <f>IF(OR(AR674=AM674,AR674=AS674,AR674=AQ674),"CHECK",0)</f>
        <v>0</v>
      </c>
      <c r="AS717" s="942">
        <f>IF(OR(AS674=AN674,AS674=AR674),"CHECK",0)</f>
        <v>0</v>
      </c>
      <c r="AT717" s="942">
        <f>IF(AT674=AO674,"CHECK",0)</f>
        <v>0</v>
      </c>
      <c r="AU717" s="942">
        <f>IF(OR(AU674=AP674,AU674=AV674,AU674=AS674),"CHECK",0)</f>
        <v>0</v>
      </c>
      <c r="AV717" s="942">
        <f>IF(OR(AV674=AQ674,AV674=AW674,AV674=AU674),"CHECK",0)</f>
        <v>0</v>
      </c>
      <c r="AW717" s="943">
        <f ca="1">IF(OR(AW674=AR674,AW674=AX674,AW674=AV674),"CHECK",0)</f>
        <v>0</v>
      </c>
      <c r="AX717" s="942"/>
      <c r="AY717" s="942"/>
      <c r="AZ717" s="942"/>
      <c r="BA717" s="942"/>
      <c r="BB717" s="942"/>
      <c r="BC717" s="942"/>
      <c r="BD717" s="942"/>
      <c r="BE717" s="942"/>
      <c r="BF717" s="942"/>
      <c r="BG717" s="942"/>
      <c r="BH717" s="821"/>
    </row>
    <row r="718" spans="1:60" customFormat="1" x14ac:dyDescent="0.25">
      <c r="A718" s="821" t="s">
        <v>236</v>
      </c>
      <c r="B718" s="818"/>
      <c r="C718" s="942">
        <f t="shared" ref="C718:AH718" si="737">IF(ISBLANK(INDEX(MO_IS_FirstRow,0,COLUMN())),0,ROUND(C611-C551,6))</f>
        <v>0</v>
      </c>
      <c r="D718" s="942">
        <f t="shared" si="737"/>
        <v>0</v>
      </c>
      <c r="E718" s="942">
        <f t="shared" si="737"/>
        <v>0</v>
      </c>
      <c r="F718" s="942">
        <f t="shared" si="737"/>
        <v>0</v>
      </c>
      <c r="G718" s="942">
        <f t="shared" si="737"/>
        <v>0</v>
      </c>
      <c r="H718" s="942">
        <f t="shared" si="737"/>
        <v>0</v>
      </c>
      <c r="I718" s="942">
        <f t="shared" si="737"/>
        <v>0</v>
      </c>
      <c r="J718" s="942">
        <f t="shared" si="737"/>
        <v>0</v>
      </c>
      <c r="K718" s="942">
        <f t="shared" si="737"/>
        <v>0</v>
      </c>
      <c r="L718" s="942">
        <f t="shared" si="737"/>
        <v>0</v>
      </c>
      <c r="M718" s="942">
        <f t="shared" si="737"/>
        <v>0</v>
      </c>
      <c r="N718" s="942">
        <f t="shared" si="737"/>
        <v>0</v>
      </c>
      <c r="O718" s="942">
        <f t="shared" si="737"/>
        <v>0</v>
      </c>
      <c r="P718" s="942">
        <f t="shared" si="737"/>
        <v>0</v>
      </c>
      <c r="Q718" s="942">
        <f t="shared" si="737"/>
        <v>0</v>
      </c>
      <c r="R718" s="942">
        <f t="shared" si="737"/>
        <v>0</v>
      </c>
      <c r="S718" s="942">
        <f t="shared" si="737"/>
        <v>0</v>
      </c>
      <c r="T718" s="942">
        <f t="shared" si="737"/>
        <v>0</v>
      </c>
      <c r="U718" s="942">
        <f t="shared" si="737"/>
        <v>0</v>
      </c>
      <c r="V718" s="942">
        <f t="shared" si="737"/>
        <v>0</v>
      </c>
      <c r="W718" s="942">
        <f t="shared" si="737"/>
        <v>0</v>
      </c>
      <c r="X718" s="942">
        <f t="shared" si="737"/>
        <v>0</v>
      </c>
      <c r="Y718" s="942">
        <f t="shared" si="737"/>
        <v>0</v>
      </c>
      <c r="Z718" s="942">
        <f t="shared" si="737"/>
        <v>0</v>
      </c>
      <c r="AA718" s="942">
        <f t="shared" si="737"/>
        <v>0</v>
      </c>
      <c r="AB718" s="942">
        <f t="shared" si="737"/>
        <v>0</v>
      </c>
      <c r="AC718" s="942">
        <f t="shared" si="737"/>
        <v>0</v>
      </c>
      <c r="AD718" s="942">
        <f t="shared" si="737"/>
        <v>0</v>
      </c>
      <c r="AE718" s="942">
        <f t="shared" si="737"/>
        <v>0</v>
      </c>
      <c r="AF718" s="942">
        <f t="shared" si="737"/>
        <v>0</v>
      </c>
      <c r="AG718" s="942">
        <f t="shared" si="737"/>
        <v>0</v>
      </c>
      <c r="AH718" s="942">
        <f t="shared" si="737"/>
        <v>0</v>
      </c>
      <c r="AI718" s="942">
        <f t="shared" ref="AI718:AY718" si="738">IF(ISBLANK(INDEX(MO_IS_FirstRow,0,COLUMN())),0,ROUND(AI611-AI551,6))</f>
        <v>0</v>
      </c>
      <c r="AJ718" s="942">
        <f t="shared" si="738"/>
        <v>0</v>
      </c>
      <c r="AK718" s="942">
        <f t="shared" si="738"/>
        <v>0</v>
      </c>
      <c r="AL718" s="942">
        <f t="shared" si="738"/>
        <v>0</v>
      </c>
      <c r="AM718" s="942">
        <f t="shared" si="738"/>
        <v>0</v>
      </c>
      <c r="AN718" s="942">
        <f t="shared" si="738"/>
        <v>0</v>
      </c>
      <c r="AO718" s="942">
        <f t="shared" si="738"/>
        <v>0</v>
      </c>
      <c r="AP718" s="942">
        <f t="shared" si="738"/>
        <v>0</v>
      </c>
      <c r="AQ718" s="942">
        <f t="shared" si="738"/>
        <v>0</v>
      </c>
      <c r="AR718" s="942">
        <f>IF(ISBLANK(INDEX(MO_IS_FirstRow,0,COLUMN())),0,ROUND(AR611-AR551,6))</f>
        <v>0</v>
      </c>
      <c r="AS718" s="942">
        <f>IF(ISBLANK(INDEX(MO_IS_FirstRow,0,COLUMN())),0,ROUND(AS611-AS551,6))</f>
        <v>0</v>
      </c>
      <c r="AT718" s="942">
        <f>IF(ISBLANK(INDEX(MO_IS_FirstRow,0,COLUMN())),0,ROUND(AT611-AT551,6))</f>
        <v>0</v>
      </c>
      <c r="AU718" s="942">
        <f t="shared" ref="AU718" si="739">IF(ISBLANK(INDEX(MO_IS_FirstRow,0,COLUMN())),0,ROUND(AU611-AU551,6))</f>
        <v>0</v>
      </c>
      <c r="AV718" s="942">
        <f>IF(ISBLANK(INDEX(MO_IS_FirstRow,0,COLUMN())),0,ROUND(AV611-AV551,6))</f>
        <v>0</v>
      </c>
      <c r="AW718" s="943">
        <f>IF(ISBLANK(INDEX(MO_IS_FirstRow,0,COLUMN())),0,ROUND(AW611-AW551,6))</f>
        <v>0</v>
      </c>
      <c r="AX718" s="942">
        <f t="shared" si="738"/>
        <v>0</v>
      </c>
      <c r="AY718" s="942">
        <f t="shared" si="738"/>
        <v>0</v>
      </c>
      <c r="AZ718" s="942">
        <f t="shared" ref="AZ718:BG718" si="740">IF(ISBLANK(INDEX(MO_IS_FirstRow,0,COLUMN())),0,ROUND(AZ611-AZ551,6))</f>
        <v>0</v>
      </c>
      <c r="BA718" s="942">
        <f t="shared" si="740"/>
        <v>0</v>
      </c>
      <c r="BB718" s="942">
        <f t="shared" si="740"/>
        <v>0</v>
      </c>
      <c r="BC718" s="942">
        <f t="shared" si="740"/>
        <v>0</v>
      </c>
      <c r="BD718" s="942">
        <f t="shared" si="740"/>
        <v>0</v>
      </c>
      <c r="BE718" s="942">
        <f t="shared" si="740"/>
        <v>0</v>
      </c>
      <c r="BF718" s="942">
        <f t="shared" si="740"/>
        <v>0</v>
      </c>
      <c r="BG718" s="942">
        <f t="shared" si="740"/>
        <v>0</v>
      </c>
      <c r="BH718" s="821"/>
    </row>
    <row r="719" spans="1:60" customFormat="1" x14ac:dyDescent="0.25">
      <c r="A719" s="821" t="s">
        <v>237</v>
      </c>
      <c r="B719" s="818"/>
      <c r="C719" s="942">
        <f t="shared" ref="C719:AH719" si="741">ROUND(INDEX(MO_CFSum_Capex,0,COLUMN())-C578-C579,6)</f>
        <v>0</v>
      </c>
      <c r="D719" s="942">
        <f t="shared" si="741"/>
        <v>0</v>
      </c>
      <c r="E719" s="942">
        <f t="shared" si="741"/>
        <v>0</v>
      </c>
      <c r="F719" s="942">
        <f t="shared" si="741"/>
        <v>0</v>
      </c>
      <c r="G719" s="942">
        <f t="shared" si="741"/>
        <v>0</v>
      </c>
      <c r="H719" s="942">
        <f t="shared" si="741"/>
        <v>0</v>
      </c>
      <c r="I719" s="942">
        <f t="shared" si="741"/>
        <v>0</v>
      </c>
      <c r="J719" s="942">
        <f t="shared" si="741"/>
        <v>0</v>
      </c>
      <c r="K719" s="942">
        <f t="shared" si="741"/>
        <v>0</v>
      </c>
      <c r="L719" s="942">
        <f t="shared" si="741"/>
        <v>0</v>
      </c>
      <c r="M719" s="942">
        <f t="shared" si="741"/>
        <v>0</v>
      </c>
      <c r="N719" s="942">
        <f t="shared" si="741"/>
        <v>0</v>
      </c>
      <c r="O719" s="942">
        <f t="shared" si="741"/>
        <v>0</v>
      </c>
      <c r="P719" s="942">
        <f t="shared" si="741"/>
        <v>0</v>
      </c>
      <c r="Q719" s="942">
        <f t="shared" si="741"/>
        <v>0</v>
      </c>
      <c r="R719" s="942">
        <f t="shared" si="741"/>
        <v>0</v>
      </c>
      <c r="S719" s="942">
        <f t="shared" si="741"/>
        <v>0</v>
      </c>
      <c r="T719" s="942">
        <f t="shared" si="741"/>
        <v>0</v>
      </c>
      <c r="U719" s="942">
        <f t="shared" si="741"/>
        <v>0</v>
      </c>
      <c r="V719" s="942">
        <f t="shared" si="741"/>
        <v>0</v>
      </c>
      <c r="W719" s="942">
        <f t="shared" si="741"/>
        <v>0</v>
      </c>
      <c r="X719" s="942">
        <f t="shared" si="741"/>
        <v>0</v>
      </c>
      <c r="Y719" s="942">
        <f t="shared" si="741"/>
        <v>0</v>
      </c>
      <c r="Z719" s="942">
        <f t="shared" si="741"/>
        <v>0</v>
      </c>
      <c r="AA719" s="942">
        <f t="shared" si="741"/>
        <v>0</v>
      </c>
      <c r="AB719" s="942">
        <f t="shared" si="741"/>
        <v>0</v>
      </c>
      <c r="AC719" s="942">
        <f t="shared" si="741"/>
        <v>0</v>
      </c>
      <c r="AD719" s="942">
        <f t="shared" si="741"/>
        <v>0</v>
      </c>
      <c r="AE719" s="942">
        <f t="shared" si="741"/>
        <v>0</v>
      </c>
      <c r="AF719" s="942">
        <f t="shared" si="741"/>
        <v>0</v>
      </c>
      <c r="AG719" s="942">
        <f t="shared" si="741"/>
        <v>0</v>
      </c>
      <c r="AH719" s="942">
        <f t="shared" si="741"/>
        <v>0</v>
      </c>
      <c r="AI719" s="942">
        <f t="shared" ref="AI719:AY719" si="742">ROUND(INDEX(MO_CFSum_Capex,0,COLUMN())-AI578-AI579,6)</f>
        <v>0</v>
      </c>
      <c r="AJ719" s="942">
        <f t="shared" si="742"/>
        <v>0</v>
      </c>
      <c r="AK719" s="942">
        <f t="shared" si="742"/>
        <v>0</v>
      </c>
      <c r="AL719" s="942">
        <f t="shared" si="742"/>
        <v>0</v>
      </c>
      <c r="AM719" s="942">
        <f t="shared" si="742"/>
        <v>0</v>
      </c>
      <c r="AN719" s="942">
        <f t="shared" si="742"/>
        <v>0</v>
      </c>
      <c r="AO719" s="942">
        <f t="shared" si="742"/>
        <v>0</v>
      </c>
      <c r="AP719" s="942">
        <f t="shared" si="742"/>
        <v>0</v>
      </c>
      <c r="AQ719" s="942">
        <f t="shared" si="742"/>
        <v>0</v>
      </c>
      <c r="AR719" s="942">
        <f>ROUND(INDEX(MO_CFSum_Capex,0,COLUMN())-AR578-AR579,6)</f>
        <v>0</v>
      </c>
      <c r="AS719" s="942">
        <f>ROUND(INDEX(MO_CFSum_Capex,0,COLUMN())-AS578-AS579,6)</f>
        <v>0</v>
      </c>
      <c r="AT719" s="942">
        <f>ROUND(INDEX(MO_CFSum_Capex,0,COLUMN())-AT578-AT579,6)</f>
        <v>0</v>
      </c>
      <c r="AU719" s="942">
        <f t="shared" ref="AU719" si="743">ROUND(INDEX(MO_CFSum_Capex,0,COLUMN())-AU578-AU579,6)</f>
        <v>0</v>
      </c>
      <c r="AV719" s="942">
        <f>ROUND(INDEX(MO_CFSum_Capex,0,COLUMN())-AV578-AV579,6)</f>
        <v>0</v>
      </c>
      <c r="AW719" s="943">
        <f>ROUND(INDEX(MO_CFSum_Capex,0,COLUMN())-AW578-AW579,6)</f>
        <v>0</v>
      </c>
      <c r="AX719" s="942">
        <f t="shared" si="742"/>
        <v>0</v>
      </c>
      <c r="AY719" s="942">
        <f t="shared" si="742"/>
        <v>0</v>
      </c>
      <c r="AZ719" s="942">
        <f t="shared" ref="AZ719:BG719" si="744">ROUND(INDEX(MO_CFSum_Capex,0,COLUMN())-AZ578-AZ579,6)</f>
        <v>0</v>
      </c>
      <c r="BA719" s="942">
        <f t="shared" si="744"/>
        <v>0</v>
      </c>
      <c r="BB719" s="942">
        <f t="shared" si="744"/>
        <v>0</v>
      </c>
      <c r="BC719" s="942">
        <f t="shared" si="744"/>
        <v>0</v>
      </c>
      <c r="BD719" s="942">
        <f t="shared" si="744"/>
        <v>0</v>
      </c>
      <c r="BE719" s="942">
        <f t="shared" si="744"/>
        <v>0</v>
      </c>
      <c r="BF719" s="942">
        <f t="shared" si="744"/>
        <v>0</v>
      </c>
      <c r="BG719" s="942">
        <f t="shared" si="744"/>
        <v>0</v>
      </c>
      <c r="BH719" s="821"/>
    </row>
    <row r="720" spans="1:60" customFormat="1" x14ac:dyDescent="0.25">
      <c r="A720" s="821" t="s">
        <v>238</v>
      </c>
      <c r="B720" s="818"/>
      <c r="C720" s="942">
        <f t="shared" ref="C720:AH720" si="745">IF(ISBLANK(INDEX(MO_IS_FirstRow,0,COLUMN())),0,IF(MOD(C322*1000000,1)=0,"Check",0))</f>
        <v>0</v>
      </c>
      <c r="D720" s="942">
        <f t="shared" si="745"/>
        <v>0</v>
      </c>
      <c r="E720" s="942">
        <f t="shared" si="745"/>
        <v>0</v>
      </c>
      <c r="F720" s="942">
        <f t="shared" si="745"/>
        <v>0</v>
      </c>
      <c r="G720" s="942">
        <f t="shared" si="745"/>
        <v>0</v>
      </c>
      <c r="H720" s="942">
        <f t="shared" si="745"/>
        <v>0</v>
      </c>
      <c r="I720" s="942">
        <f t="shared" si="745"/>
        <v>0</v>
      </c>
      <c r="J720" s="942">
        <f t="shared" si="745"/>
        <v>0</v>
      </c>
      <c r="K720" s="942">
        <f t="shared" si="745"/>
        <v>0</v>
      </c>
      <c r="L720" s="942">
        <f t="shared" si="745"/>
        <v>0</v>
      </c>
      <c r="M720" s="942">
        <f t="shared" si="745"/>
        <v>0</v>
      </c>
      <c r="N720" s="942">
        <f t="shared" si="745"/>
        <v>0</v>
      </c>
      <c r="O720" s="942">
        <f t="shared" si="745"/>
        <v>0</v>
      </c>
      <c r="P720" s="942">
        <f t="shared" si="745"/>
        <v>0</v>
      </c>
      <c r="Q720" s="942">
        <f t="shared" si="745"/>
        <v>0</v>
      </c>
      <c r="R720" s="942">
        <f t="shared" si="745"/>
        <v>0</v>
      </c>
      <c r="S720" s="942">
        <f t="shared" si="745"/>
        <v>0</v>
      </c>
      <c r="T720" s="942">
        <f t="shared" si="745"/>
        <v>0</v>
      </c>
      <c r="U720" s="942">
        <f t="shared" si="745"/>
        <v>0</v>
      </c>
      <c r="V720" s="942">
        <f t="shared" si="745"/>
        <v>0</v>
      </c>
      <c r="W720" s="942">
        <f t="shared" si="745"/>
        <v>0</v>
      </c>
      <c r="X720" s="942">
        <f t="shared" si="745"/>
        <v>0</v>
      </c>
      <c r="Y720" s="942">
        <f t="shared" si="745"/>
        <v>0</v>
      </c>
      <c r="Z720" s="942">
        <f t="shared" si="745"/>
        <v>0</v>
      </c>
      <c r="AA720" s="942">
        <f t="shared" si="745"/>
        <v>0</v>
      </c>
      <c r="AB720" s="942">
        <f t="shared" si="745"/>
        <v>0</v>
      </c>
      <c r="AC720" s="942">
        <f t="shared" si="745"/>
        <v>0</v>
      </c>
      <c r="AD720" s="942">
        <f t="shared" si="745"/>
        <v>0</v>
      </c>
      <c r="AE720" s="942">
        <f t="shared" si="745"/>
        <v>0</v>
      </c>
      <c r="AF720" s="942">
        <f t="shared" si="745"/>
        <v>0</v>
      </c>
      <c r="AG720" s="942">
        <f t="shared" si="745"/>
        <v>0</v>
      </c>
      <c r="AH720" s="942">
        <f t="shared" si="745"/>
        <v>0</v>
      </c>
      <c r="AI720" s="942">
        <f t="shared" ref="AI720:BG720" si="746">IF(ISBLANK(INDEX(MO_IS_FirstRow,0,COLUMN())),0,IF(MOD(AI322*1000000,1)=0,"Check",0))</f>
        <v>0</v>
      </c>
      <c r="AJ720" s="942">
        <f t="shared" si="746"/>
        <v>0</v>
      </c>
      <c r="AK720" s="942">
        <f t="shared" si="746"/>
        <v>0</v>
      </c>
      <c r="AL720" s="942">
        <f t="shared" si="746"/>
        <v>0</v>
      </c>
      <c r="AM720" s="942">
        <f t="shared" si="746"/>
        <v>0</v>
      </c>
      <c r="AN720" s="942">
        <f t="shared" si="746"/>
        <v>0</v>
      </c>
      <c r="AO720" s="942">
        <f t="shared" si="746"/>
        <v>0</v>
      </c>
      <c r="AP720" s="942">
        <f t="shared" si="746"/>
        <v>0</v>
      </c>
      <c r="AQ720" s="942">
        <f t="shared" si="746"/>
        <v>0</v>
      </c>
      <c r="AR720" s="942">
        <f t="shared" si="746"/>
        <v>0</v>
      </c>
      <c r="AS720" s="942">
        <f t="shared" si="746"/>
        <v>0</v>
      </c>
      <c r="AT720" s="942">
        <f t="shared" si="746"/>
        <v>0</v>
      </c>
      <c r="AU720" s="942">
        <f t="shared" si="746"/>
        <v>0</v>
      </c>
      <c r="AV720" s="942">
        <f t="shared" si="746"/>
        <v>0</v>
      </c>
      <c r="AW720" s="943">
        <f t="shared" si="746"/>
        <v>0</v>
      </c>
      <c r="AX720" s="942">
        <f t="shared" si="746"/>
        <v>0</v>
      </c>
      <c r="AY720" s="942">
        <f t="shared" si="746"/>
        <v>0</v>
      </c>
      <c r="AZ720" s="942">
        <f t="shared" si="746"/>
        <v>0</v>
      </c>
      <c r="BA720" s="942">
        <f t="shared" si="746"/>
        <v>0</v>
      </c>
      <c r="BB720" s="942">
        <f t="shared" si="746"/>
        <v>0</v>
      </c>
      <c r="BC720" s="942">
        <f t="shared" si="746"/>
        <v>0</v>
      </c>
      <c r="BD720" s="942">
        <f t="shared" si="746"/>
        <v>0</v>
      </c>
      <c r="BE720" s="942">
        <f t="shared" si="746"/>
        <v>0</v>
      </c>
      <c r="BF720" s="942">
        <f t="shared" si="746"/>
        <v>0</v>
      </c>
      <c r="BG720" s="942">
        <f t="shared" si="746"/>
        <v>0</v>
      </c>
      <c r="BH720" s="821"/>
    </row>
    <row r="721" spans="1:60" customFormat="1" x14ac:dyDescent="0.25">
      <c r="A721" s="821" t="s">
        <v>239</v>
      </c>
      <c r="B721" s="818"/>
      <c r="C721" s="942"/>
      <c r="D721" s="942"/>
      <c r="E721" s="942"/>
      <c r="F721" s="942"/>
      <c r="G721" s="942"/>
      <c r="H721" s="942"/>
      <c r="I721" s="942"/>
      <c r="J721" s="942"/>
      <c r="K721" s="942">
        <f>IF(ISBLANK(INDEX(MO_IS_FirstRow,0,COLUMN())),0,ROUND(K372-SUM(G372,H372,I372,J372),6)+ROUND(K359-SUM(G359,H359,I359,J359),6))</f>
        <v>0</v>
      </c>
      <c r="L721" s="942"/>
      <c r="M721" s="942"/>
      <c r="N721" s="942"/>
      <c r="O721" s="942"/>
      <c r="P721" s="942">
        <f>IF(ISBLANK(INDEX(MO_IS_FirstRow,0,COLUMN())),0,ROUND(P372-SUM(L372,M372,N372,O372),6)+ROUND(P359-SUM(L359,M359,N359,O359),6))+P411</f>
        <v>0</v>
      </c>
      <c r="Q721" s="942"/>
      <c r="R721" s="942"/>
      <c r="S721" s="942"/>
      <c r="T721" s="942"/>
      <c r="U721" s="942">
        <f>IF(ISBLANK(INDEX(MO_IS_FirstRow,0,COLUMN())),0,ROUND(U372-SUM(Q372,R372,S372,T372),6)+ROUND(U359-SUM(Q359,R359,S359,T359),6))+U411</f>
        <v>0</v>
      </c>
      <c r="V721" s="942"/>
      <c r="W721" s="942"/>
      <c r="X721" s="942"/>
      <c r="Y721" s="942"/>
      <c r="Z721" s="942">
        <f>IF(ISBLANK(INDEX(MO_IS_FirstRow,0,COLUMN())),0,ROUND(Z372-SUM(V372,W372,X372,Y372),6)+ROUND(Z359-SUM(V359,W359,X359,Y359),6))+Z411</f>
        <v>0</v>
      </c>
      <c r="AA721" s="942"/>
      <c r="AB721" s="942"/>
      <c r="AC721" s="942"/>
      <c r="AD721" s="942"/>
      <c r="AE721" s="942">
        <f>IF(ISBLANK(INDEX(MO_IS_FirstRow,0,COLUMN())),0,ROUND(AE372-SUM(AA372,AB372,AC372,AD372),6)+ROUND(AE359-SUM(AA359,AB359,AC359,AD359),6))+AE411</f>
        <v>0</v>
      </c>
      <c r="AF721" s="942"/>
      <c r="AG721" s="942"/>
      <c r="AH721" s="942"/>
      <c r="AI721" s="942"/>
      <c r="AJ721" s="942">
        <f>IF(ISBLANK(INDEX(MO_IS_FirstRow,0,COLUMN())),0,ROUND(AJ372-SUM(AF372,AG372,AH372,AI372),6)+ROUND(AJ359-SUM(AF359,AG359,AH359,AI359),6))+AJ411</f>
        <v>0</v>
      </c>
      <c r="AK721" s="942"/>
      <c r="AL721" s="942"/>
      <c r="AM721" s="942"/>
      <c r="AN721" s="942"/>
      <c r="AO721" s="942">
        <f>IF(ISBLANK(INDEX(MO_IS_FirstRow,0,COLUMN())),0,ROUND(AO372-SUM(AK372,AL372,AM372,AN372),6)+ROUND(AO359-SUM(AK359,AL359,AM359,AN359),6))+AO411</f>
        <v>0</v>
      </c>
      <c r="AP721" s="942"/>
      <c r="AQ721" s="942"/>
      <c r="AR721" s="942"/>
      <c r="AS721" s="942"/>
      <c r="AT721" s="942">
        <f>IF(ISBLANK(INDEX(MO_IS_FirstRow,0,COLUMN())),0,ROUND(AT372-SUM(AP372,AQ372,AR372,AS372),6)+ROUND(AT359-SUM(AP359,AQ359,AR359,AS359),6))+AT411</f>
        <v>0</v>
      </c>
      <c r="AU721" s="942"/>
      <c r="AV721" s="942"/>
      <c r="AW721" s="943"/>
      <c r="AX721" s="942"/>
      <c r="AY721" s="942">
        <f>IF(ISBLANK(INDEX(MO_IS_FirstRow,0,COLUMN())),0,ROUND(AY372-SUM(AU372,AV372,AW372,AX372),6)+ROUND(AY359-SUM(AU359,AV359,AW359,AX359),6))+AY411</f>
        <v>0</v>
      </c>
      <c r="AZ721" s="942"/>
      <c r="BA721" s="942"/>
      <c r="BB721" s="942"/>
      <c r="BC721" s="942"/>
      <c r="BD721" s="942">
        <f>IF(ISBLANK(INDEX(MO_IS_FirstRow,0,COLUMN())),0,ROUND(BD372-SUM(AZ372,BA372,BB372,BC372),6)+ROUND(BD359-SUM(AZ359,BA359,BB359,BC359),6))+BD411</f>
        <v>0</v>
      </c>
      <c r="BE721" s="942"/>
      <c r="BF721" s="942"/>
      <c r="BG721" s="942"/>
      <c r="BH721" s="821"/>
    </row>
    <row r="722" spans="1:60" customFormat="1" x14ac:dyDescent="0.25">
      <c r="A722" s="821" t="s">
        <v>240</v>
      </c>
      <c r="B722" s="818"/>
      <c r="C722" s="942">
        <f t="shared" ref="C722:AH722" si="747">IF(OR(INDEX(MO_CFSum_Acquisition,1,COLUMN())&gt;0,INDEX(MO_CFSum_Divestiture,1,COLUMN())&lt;0,INDEX(MO_CFSum_Capex,1,COLUMN())&gt;0,INDEX(MO_CFSum_Dividend,1,COLUMN())&gt;0),"CHECK",0)</f>
        <v>0</v>
      </c>
      <c r="D722" s="942">
        <f t="shared" si="747"/>
        <v>0</v>
      </c>
      <c r="E722" s="942">
        <f t="shared" si="747"/>
        <v>0</v>
      </c>
      <c r="F722" s="942">
        <f t="shared" si="747"/>
        <v>0</v>
      </c>
      <c r="G722" s="942">
        <f t="shared" si="747"/>
        <v>0</v>
      </c>
      <c r="H722" s="942">
        <f t="shared" si="747"/>
        <v>0</v>
      </c>
      <c r="I722" s="942">
        <f t="shared" si="747"/>
        <v>0</v>
      </c>
      <c r="J722" s="942">
        <f t="shared" si="747"/>
        <v>0</v>
      </c>
      <c r="K722" s="942">
        <f t="shared" si="747"/>
        <v>0</v>
      </c>
      <c r="L722" s="942">
        <f t="shared" si="747"/>
        <v>0</v>
      </c>
      <c r="M722" s="942">
        <f t="shared" si="747"/>
        <v>0</v>
      </c>
      <c r="N722" s="942">
        <f t="shared" si="747"/>
        <v>0</v>
      </c>
      <c r="O722" s="942">
        <f t="shared" si="747"/>
        <v>0</v>
      </c>
      <c r="P722" s="942">
        <f t="shared" si="747"/>
        <v>0</v>
      </c>
      <c r="Q722" s="942">
        <f t="shared" si="747"/>
        <v>0</v>
      </c>
      <c r="R722" s="942">
        <f t="shared" si="747"/>
        <v>0</v>
      </c>
      <c r="S722" s="942">
        <f t="shared" si="747"/>
        <v>0</v>
      </c>
      <c r="T722" s="942">
        <f t="shared" si="747"/>
        <v>0</v>
      </c>
      <c r="U722" s="942">
        <f t="shared" si="747"/>
        <v>0</v>
      </c>
      <c r="V722" s="942">
        <f t="shared" si="747"/>
        <v>0</v>
      </c>
      <c r="W722" s="942">
        <f t="shared" si="747"/>
        <v>0</v>
      </c>
      <c r="X722" s="942">
        <f t="shared" si="747"/>
        <v>0</v>
      </c>
      <c r="Y722" s="942">
        <f t="shared" si="747"/>
        <v>0</v>
      </c>
      <c r="Z722" s="942">
        <f t="shared" si="747"/>
        <v>0</v>
      </c>
      <c r="AA722" s="942">
        <f t="shared" si="747"/>
        <v>0</v>
      </c>
      <c r="AB722" s="942">
        <f t="shared" si="747"/>
        <v>0</v>
      </c>
      <c r="AC722" s="942">
        <f t="shared" si="747"/>
        <v>0</v>
      </c>
      <c r="AD722" s="942">
        <f t="shared" si="747"/>
        <v>0</v>
      </c>
      <c r="AE722" s="942">
        <f t="shared" si="747"/>
        <v>0</v>
      </c>
      <c r="AF722" s="942">
        <f t="shared" si="747"/>
        <v>0</v>
      </c>
      <c r="AG722" s="942">
        <f t="shared" si="747"/>
        <v>0</v>
      </c>
      <c r="AH722" s="942">
        <f t="shared" si="747"/>
        <v>0</v>
      </c>
      <c r="AI722" s="942">
        <f t="shared" ref="AI722:AY722" si="748">IF(OR(INDEX(MO_CFSum_Acquisition,1,COLUMN())&gt;0,INDEX(MO_CFSum_Divestiture,1,COLUMN())&lt;0,INDEX(MO_CFSum_Capex,1,COLUMN())&gt;0,INDEX(MO_CFSum_Dividend,1,COLUMN())&gt;0),"CHECK",0)</f>
        <v>0</v>
      </c>
      <c r="AJ722" s="942">
        <f t="shared" si="748"/>
        <v>0</v>
      </c>
      <c r="AK722" s="942">
        <f t="shared" si="748"/>
        <v>0</v>
      </c>
      <c r="AL722" s="942">
        <f t="shared" si="748"/>
        <v>0</v>
      </c>
      <c r="AM722" s="942">
        <f t="shared" si="748"/>
        <v>0</v>
      </c>
      <c r="AN722" s="942">
        <f t="shared" si="748"/>
        <v>0</v>
      </c>
      <c r="AO722" s="942">
        <f t="shared" si="748"/>
        <v>0</v>
      </c>
      <c r="AP722" s="942">
        <f t="shared" si="748"/>
        <v>0</v>
      </c>
      <c r="AQ722" s="942">
        <f t="shared" si="748"/>
        <v>0</v>
      </c>
      <c r="AR722" s="942">
        <f>IF(OR(INDEX(MO_CFSum_Acquisition,1,COLUMN())&gt;0,INDEX(MO_CFSum_Divestiture,1,COLUMN())&lt;0,INDEX(MO_CFSum_Capex,1,COLUMN())&gt;0,INDEX(MO_CFSum_Dividend,1,COLUMN())&gt;0),"CHECK",0)</f>
        <v>0</v>
      </c>
      <c r="AS722" s="942">
        <f>IF(OR(INDEX(MO_CFSum_Acquisition,1,COLUMN())&gt;0,INDEX(MO_CFSum_Divestiture,1,COLUMN())&lt;0,INDEX(MO_CFSum_Capex,1,COLUMN())&gt;0,INDEX(MO_CFSum_Dividend,1,COLUMN())&gt;0),"CHECK",0)</f>
        <v>0</v>
      </c>
      <c r="AT722" s="942">
        <f>IF(OR(INDEX(MO_CFSum_Acquisition,1,COLUMN())&gt;0,INDEX(MO_CFSum_Divestiture,1,COLUMN())&lt;0,INDEX(MO_CFSum_Capex,1,COLUMN())&gt;0,INDEX(MO_CFSum_Dividend,1,COLUMN())&gt;0),"CHECK",0)</f>
        <v>0</v>
      </c>
      <c r="AU722" s="942">
        <f t="shared" si="748"/>
        <v>0</v>
      </c>
      <c r="AV722" s="942">
        <f>IF(OR(INDEX(MO_CFSum_Acquisition,1,COLUMN())&gt;0,INDEX(MO_CFSum_Divestiture,1,COLUMN())&lt;0,INDEX(MO_CFSum_Capex,1,COLUMN())&gt;0,INDEX(MO_CFSum_Dividend,1,COLUMN())&gt;0),"CHECK",0)</f>
        <v>0</v>
      </c>
      <c r="AW722" s="943">
        <f>IF(OR(INDEX(MO_CFSum_Acquisition,1,COLUMN())&gt;0,INDEX(MO_CFSum_Divestiture,1,COLUMN())&lt;0,INDEX(MO_CFSum_Capex,1,COLUMN())&gt;0,INDEX(MO_CFSum_Dividend,1,COLUMN())&gt;0),"CHECK",0)</f>
        <v>0</v>
      </c>
      <c r="AX722" s="942">
        <f t="shared" ca="1" si="748"/>
        <v>0</v>
      </c>
      <c r="AY722" s="942">
        <f t="shared" ca="1" si="748"/>
        <v>0</v>
      </c>
      <c r="AZ722" s="942">
        <f t="shared" ref="AZ722:BG722" ca="1" si="749">IF(OR(INDEX(MO_CFSum_Acquisition,1,COLUMN())&gt;0,INDEX(MO_CFSum_Divestiture,1,COLUMN())&lt;0,INDEX(MO_CFSum_Capex,1,COLUMN())&gt;0,INDEX(MO_CFSum_Dividend,1,COLUMN())&gt;0),"CHECK",0)</f>
        <v>0</v>
      </c>
      <c r="BA722" s="942">
        <f t="shared" ca="1" si="749"/>
        <v>0</v>
      </c>
      <c r="BB722" s="942">
        <f t="shared" ca="1" si="749"/>
        <v>0</v>
      </c>
      <c r="BC722" s="942">
        <f t="shared" ca="1" si="749"/>
        <v>0</v>
      </c>
      <c r="BD722" s="942">
        <f t="shared" ca="1" si="749"/>
        <v>0</v>
      </c>
      <c r="BE722" s="942">
        <f t="shared" ca="1" si="749"/>
        <v>0</v>
      </c>
      <c r="BF722" s="942">
        <f t="shared" ca="1" si="749"/>
        <v>0</v>
      </c>
      <c r="BG722" s="942">
        <f t="shared" ca="1" si="749"/>
        <v>0</v>
      </c>
      <c r="BH722" s="821"/>
    </row>
    <row r="723" spans="1:60" customFormat="1" x14ac:dyDescent="0.25">
      <c r="A723" s="821" t="s">
        <v>241</v>
      </c>
      <c r="B723" s="818"/>
      <c r="C723" s="942"/>
      <c r="D723" s="942"/>
      <c r="E723" s="942"/>
      <c r="F723" s="942"/>
      <c r="G723" s="942"/>
      <c r="H723" s="942"/>
      <c r="I723" s="942"/>
      <c r="J723" s="942"/>
      <c r="K723" s="942">
        <f>ROUND(K406-SUM(G406,H406,I406,J406),6)</f>
        <v>0</v>
      </c>
      <c r="L723" s="942"/>
      <c r="M723" s="942"/>
      <c r="N723" s="942"/>
      <c r="O723" s="942"/>
      <c r="P723" s="942">
        <f>ROUND(P406-SUM(L406,M406,N406,O406),6)</f>
        <v>0</v>
      </c>
      <c r="Q723" s="942"/>
      <c r="R723" s="942"/>
      <c r="S723" s="942"/>
      <c r="T723" s="942"/>
      <c r="U723" s="942">
        <f>ROUND(U406-SUM(Q406,R406,S406,T406),6)</f>
        <v>0</v>
      </c>
      <c r="V723" s="942"/>
      <c r="W723" s="942"/>
      <c r="X723" s="942"/>
      <c r="Y723" s="942"/>
      <c r="Z723" s="942">
        <f>ROUND(Z406-SUM(V406,W406,X406,Y406),6)</f>
        <v>0</v>
      </c>
      <c r="AA723" s="942"/>
      <c r="AB723" s="942"/>
      <c r="AC723" s="942"/>
      <c r="AD723" s="942"/>
      <c r="AE723" s="942">
        <f>ROUND(AE406-SUM(AA406,AB406,AC406,AD406),6)</f>
        <v>0</v>
      </c>
      <c r="AF723" s="942"/>
      <c r="AG723" s="942"/>
      <c r="AH723" s="942"/>
      <c r="AI723" s="942"/>
      <c r="AJ723" s="942">
        <f>ROUND(AJ406-SUM(AF406,AG406,AH406,AI406),6)</f>
        <v>0</v>
      </c>
      <c r="AK723" s="942"/>
      <c r="AL723" s="942"/>
      <c r="AM723" s="942"/>
      <c r="AN723" s="942"/>
      <c r="AO723" s="942">
        <f>ROUND(AO406-SUM(AK406,AL406,AM406,AN406),6)</f>
        <v>0</v>
      </c>
      <c r="AP723" s="942"/>
      <c r="AQ723" s="942"/>
      <c r="AR723" s="942"/>
      <c r="AS723" s="942"/>
      <c r="AT723" s="942">
        <f>ROUND(AT406-SUM(AP406,AQ406,AR406,AS406),6)</f>
        <v>0</v>
      </c>
      <c r="AU723" s="942"/>
      <c r="AV723" s="942"/>
      <c r="AW723" s="943"/>
      <c r="AX723" s="942"/>
      <c r="AY723" s="942">
        <f>ROUND(AY406-SUM(AU406,AV406,AW406,AX406),6)</f>
        <v>0</v>
      </c>
      <c r="AZ723" s="942"/>
      <c r="BA723" s="942"/>
      <c r="BB723" s="942"/>
      <c r="BC723" s="942"/>
      <c r="BD723" s="942">
        <f ca="1">ROUND(BD406-SUM(AZ406,BA406,BB406,BC406),6)</f>
        <v>0</v>
      </c>
      <c r="BE723" s="942"/>
      <c r="BF723" s="942"/>
      <c r="BG723" s="942"/>
      <c r="BH723" s="821"/>
    </row>
    <row r="724" spans="1:60" customFormat="1" x14ac:dyDescent="0.25">
      <c r="A724" s="821" t="s">
        <v>242</v>
      </c>
      <c r="B724" s="818"/>
      <c r="C724" s="942"/>
      <c r="D724" s="942"/>
      <c r="E724" s="942"/>
      <c r="F724" s="942"/>
      <c r="G724" s="942"/>
      <c r="H724" s="942"/>
      <c r="I724" s="942"/>
      <c r="J724" s="942"/>
      <c r="K724" s="942">
        <f>ROUND(SUM(G415,H415,I415,J415)-INDEX(MO_RIS_NI_NONGAAP_Diluted,1,COLUMN()),6)</f>
        <v>0</v>
      </c>
      <c r="L724" s="942"/>
      <c r="M724" s="942"/>
      <c r="N724" s="942"/>
      <c r="O724" s="942"/>
      <c r="P724" s="942">
        <f>ROUND(SUM(L415,M415,N415,O415)-INDEX(MO_RIS_NI_NONGAAP_Diluted,1,COLUMN()),6)</f>
        <v>0</v>
      </c>
      <c r="Q724" s="942"/>
      <c r="R724" s="942"/>
      <c r="S724" s="942"/>
      <c r="T724" s="942"/>
      <c r="U724" s="942">
        <f>ROUND(SUM(Q415,R415,S415,T415)-INDEX(MO_RIS_NI_NONGAAP_Diluted,1,COLUMN()),6)</f>
        <v>0</v>
      </c>
      <c r="V724" s="942"/>
      <c r="W724" s="942"/>
      <c r="X724" s="942"/>
      <c r="Y724" s="942"/>
      <c r="Z724" s="942">
        <f>ROUND(SUM(V415,W415,X415,Y415)-INDEX(MO_RIS_NI_NONGAAP_Diluted,1,COLUMN()),6)</f>
        <v>0</v>
      </c>
      <c r="AA724" s="942"/>
      <c r="AB724" s="942"/>
      <c r="AC724" s="942"/>
      <c r="AD724" s="942"/>
      <c r="AE724" s="942">
        <f>ROUND(SUM(AA415,AB415,AC415,AD415)-INDEX(MO_RIS_NI_NONGAAP_Diluted,1,COLUMN()),6)</f>
        <v>0</v>
      </c>
      <c r="AF724" s="942"/>
      <c r="AG724" s="942"/>
      <c r="AH724" s="942"/>
      <c r="AI724" s="942"/>
      <c r="AJ724" s="942">
        <f>ROUND(SUM(AF415,AG415,AH415,AI415)-INDEX(MO_RIS_NI_NONGAAP_Diluted,1,COLUMN()),6)</f>
        <v>0</v>
      </c>
      <c r="AK724" s="942"/>
      <c r="AL724" s="942"/>
      <c r="AM724" s="942"/>
      <c r="AN724" s="942"/>
      <c r="AO724" s="942">
        <f>ROUND(SUM(AK415,AL415,AM415,AN415)-INDEX(MO_RIS_NI_NONGAAP_Diluted,1,COLUMN()),6)</f>
        <v>0</v>
      </c>
      <c r="AP724" s="942"/>
      <c r="AQ724" s="942"/>
      <c r="AR724" s="942"/>
      <c r="AS724" s="942"/>
      <c r="AT724" s="942">
        <f>ROUND(SUM(AP415,AQ415,AR415,AS415)-INDEX(MO_RIS_NI_NONGAAP_Diluted,1,COLUMN()),6)</f>
        <v>0</v>
      </c>
      <c r="AU724" s="942"/>
      <c r="AV724" s="942"/>
      <c r="AW724" s="943"/>
      <c r="AX724" s="942"/>
      <c r="AY724" s="942">
        <f>ROUND(SUM(AU415,AV415,AW415,AX415)-INDEX(MO_RIS_NI_NONGAAP_Diluted,1,COLUMN()),6)</f>
        <v>0</v>
      </c>
      <c r="AZ724" s="942"/>
      <c r="BA724" s="942"/>
      <c r="BB724" s="942"/>
      <c r="BC724" s="942"/>
      <c r="BD724" s="942">
        <f ca="1">ROUND(SUM(AZ415,BA415,BB415,BC415)-INDEX(MO_RIS_NI_NONGAAP_Diluted,1,COLUMN()),6)</f>
        <v>0</v>
      </c>
      <c r="BE724" s="942"/>
      <c r="BF724" s="942"/>
      <c r="BG724" s="942"/>
      <c r="BH724" s="821"/>
    </row>
    <row r="725" spans="1:60" customFormat="1" x14ac:dyDescent="0.25">
      <c r="A725" s="821" t="s">
        <v>243</v>
      </c>
      <c r="B725" s="818"/>
      <c r="C725" s="942"/>
      <c r="D725" s="942"/>
      <c r="E725" s="942"/>
      <c r="F725" s="942"/>
      <c r="G725" s="942"/>
      <c r="H725" s="942"/>
      <c r="I725" s="942"/>
      <c r="J725" s="942"/>
      <c r="K725" s="942">
        <f ca="1">ROUND(SUM(G568,H568,I568,J568)-SUM(OFFSET(INDEX(MO_CFS_CFO_BeforeWC,1,COLUMN()),ROW(INDEX(MO_SubSection_CFS_CFO,1,COLUMN()))-ROW(INDEX(MO_CFS_CFO_BeforeWC,1,COLUMN())),0,ROW(INDEX(MO_CFS_CFO_BeforeWC,1,COLUMN()))-ROW(INDEX(MO_SubSection_CFS_CFO,1,COLUMN())),1)),6)</f>
        <v>0</v>
      </c>
      <c r="L725" s="942"/>
      <c r="M725" s="942"/>
      <c r="N725" s="942"/>
      <c r="O725" s="942"/>
      <c r="P725" s="942">
        <f ca="1">ROUND(SUM(L568,M568,N568,O568)-SUM(OFFSET(INDEX(MO_CFS_CFO_BeforeWC,1,COLUMN()),ROW(INDEX(MO_SubSection_CFS_CFO,1,COLUMN()))-ROW(INDEX(MO_CFS_CFO_BeforeWC,1,COLUMN())),0,ROW(INDEX(MO_CFS_CFO_BeforeWC,1,COLUMN()))-ROW(INDEX(MO_SubSection_CFS_CFO,1,COLUMN())),1)),6)</f>
        <v>0</v>
      </c>
      <c r="Q725" s="942"/>
      <c r="R725" s="942"/>
      <c r="S725" s="942"/>
      <c r="T725" s="942"/>
      <c r="U725" s="942">
        <f ca="1">ROUND(SUM(Q568,R568,S568,T568)-SUM(OFFSET(INDEX(MO_CFS_CFO_BeforeWC,1,COLUMN()),ROW(INDEX(MO_SubSection_CFS_CFO,1,COLUMN()))-ROW(INDEX(MO_CFS_CFO_BeforeWC,1,COLUMN())),0,ROW(INDEX(MO_CFS_CFO_BeforeWC,1,COLUMN()))-ROW(INDEX(MO_SubSection_CFS_CFO,1,COLUMN())),1)),6)</f>
        <v>0</v>
      </c>
      <c r="V725" s="942"/>
      <c r="W725" s="942"/>
      <c r="X725" s="942"/>
      <c r="Y725" s="942"/>
      <c r="Z725" s="942">
        <f ca="1">ROUND(SUM(V568,W568,X568,Y568)-SUM(OFFSET(INDEX(MO_CFS_CFO_BeforeWC,1,COLUMN()),ROW(INDEX(MO_SubSection_CFS_CFO,1,COLUMN()))-ROW(INDEX(MO_CFS_CFO_BeforeWC,1,COLUMN())),0,ROW(INDEX(MO_CFS_CFO_BeforeWC,1,COLUMN()))-ROW(INDEX(MO_SubSection_CFS_CFO,1,COLUMN())),1)),6)</f>
        <v>0</v>
      </c>
      <c r="AA725" s="942"/>
      <c r="AB725" s="942"/>
      <c r="AC725" s="942"/>
      <c r="AD725" s="942"/>
      <c r="AE725" s="942">
        <f ca="1">ROUND(SUM(AA568,AB568,AC568,AD568)-SUM(OFFSET(INDEX(MO_CFS_CFO_BeforeWC,1,COLUMN()),ROW(INDEX(MO_SubSection_CFS_CFO,1,COLUMN()))-ROW(INDEX(MO_CFS_CFO_BeforeWC,1,COLUMN())),0,ROW(INDEX(MO_CFS_CFO_BeforeWC,1,COLUMN()))-ROW(INDEX(MO_SubSection_CFS_CFO,1,COLUMN())),1)),6)</f>
        <v>0</v>
      </c>
      <c r="AF725" s="942"/>
      <c r="AG725" s="942"/>
      <c r="AH725" s="942"/>
      <c r="AI725" s="942"/>
      <c r="AJ725" s="942">
        <f ca="1">ROUND(SUM(AF568,AG568,AH568,AI568)-SUM(OFFSET(INDEX(MO_CFS_CFO_BeforeWC,1,COLUMN()),ROW(INDEX(MO_SubSection_CFS_CFO,1,COLUMN()))-ROW(INDEX(MO_CFS_CFO_BeforeWC,1,COLUMN())),0,ROW(INDEX(MO_CFS_CFO_BeforeWC,1,COLUMN()))-ROW(INDEX(MO_SubSection_CFS_CFO,1,COLUMN())),1)),6)</f>
        <v>0</v>
      </c>
      <c r="AK725" s="942"/>
      <c r="AL725" s="942"/>
      <c r="AM725" s="942"/>
      <c r="AN725" s="942"/>
      <c r="AO725" s="942">
        <f ca="1">ROUND(SUM(AK568,AL568,AM568,AN568)-SUM(OFFSET(INDEX(MO_CFS_CFO_BeforeWC,1,COLUMN()),ROW(INDEX(MO_SubSection_CFS_CFO,1,COLUMN()))-ROW(INDEX(MO_CFS_CFO_BeforeWC,1,COLUMN())),0,ROW(INDEX(MO_CFS_CFO_BeforeWC,1,COLUMN()))-ROW(INDEX(MO_SubSection_CFS_CFO,1,COLUMN())),1)),6)</f>
        <v>0</v>
      </c>
      <c r="AP725" s="942"/>
      <c r="AQ725" s="942"/>
      <c r="AR725" s="942"/>
      <c r="AS725" s="942"/>
      <c r="AT725" s="942">
        <f ca="1">ROUND(SUM(AP568,AQ568,AR568,AS568)-SUM(OFFSET(INDEX(MO_CFS_CFO_BeforeWC,1,COLUMN()),ROW(INDEX(MO_SubSection_CFS_CFO,1,COLUMN()))-ROW(INDEX(MO_CFS_CFO_BeforeWC,1,COLUMN())),0,ROW(INDEX(MO_CFS_CFO_BeforeWC,1,COLUMN()))-ROW(INDEX(MO_SubSection_CFS_CFO,1,COLUMN())),1)),6)</f>
        <v>0</v>
      </c>
      <c r="AU725" s="942"/>
      <c r="AV725" s="942"/>
      <c r="AW725" s="943"/>
      <c r="AX725" s="942"/>
      <c r="AY725" s="942">
        <f ca="1">ROUND(SUM(AU568,AV568,AW568,AX568)-SUM(OFFSET(INDEX(MO_CFS_CFO_BeforeWC,1,COLUMN()),ROW(INDEX(MO_SubSection_CFS_CFO,1,COLUMN()))-ROW(INDEX(MO_CFS_CFO_BeforeWC,1,COLUMN())),0,ROW(INDEX(MO_CFS_CFO_BeforeWC,1,COLUMN()))-ROW(INDEX(MO_SubSection_CFS_CFO,1,COLUMN())),1)),6)</f>
        <v>0</v>
      </c>
      <c r="AZ725" s="942"/>
      <c r="BA725" s="942"/>
      <c r="BB725" s="942"/>
      <c r="BC725" s="942"/>
      <c r="BD725" s="942">
        <f ca="1">ROUND(SUM(AZ568,BA568,BB568,BC568)-SUM(OFFSET(INDEX(MO_CFS_CFO_BeforeWC,1,COLUMN()),ROW(INDEX(MO_SubSection_CFS_CFO,1,COLUMN()))-ROW(INDEX(MO_CFS_CFO_BeforeWC,1,COLUMN())),0,ROW(INDEX(MO_CFS_CFO_BeforeWC,1,COLUMN()))-ROW(INDEX(MO_SubSection_CFS_CFO,1,COLUMN())),1)),6)</f>
        <v>0</v>
      </c>
      <c r="BE725" s="942"/>
      <c r="BF725" s="942"/>
      <c r="BG725" s="942"/>
      <c r="BH725" s="821"/>
    </row>
    <row r="726" spans="1:60" customFormat="1" x14ac:dyDescent="0.25">
      <c r="A726" s="821" t="s">
        <v>244</v>
      </c>
      <c r="B726" s="818"/>
      <c r="C726" s="942"/>
      <c r="D726" s="942"/>
      <c r="E726" s="942"/>
      <c r="F726" s="942"/>
      <c r="G726" s="942"/>
      <c r="H726" s="942"/>
      <c r="I726" s="942"/>
      <c r="J726" s="942"/>
      <c r="K726" s="942">
        <f ca="1">ROUND(SUM(G575,H575,I575,J575)-SUM(OFFSET(INDEX(MO_CFS_CFO,1,COLUMN()),ROW(INDEX(MO_CFS_CFO_BeforeWC,1,COLUMN()))-ROW(INDEX(MO_CFS_CFO,1,COLUMN())),0,ROW(INDEX(MO_CFS_CFO,1,COLUMN()))-ROW(INDEX(MO_CFS_CFO_BeforeWC,1,COLUMN())),1)),6)</f>
        <v>0</v>
      </c>
      <c r="L726" s="942"/>
      <c r="M726" s="942"/>
      <c r="N726" s="942"/>
      <c r="O726" s="942"/>
      <c r="P726" s="942">
        <f ca="1">ROUND(SUM(L575,M575,N575,O575)-SUM(OFFSET(INDEX(MO_CFS_CFO,1,COLUMN()),ROW(INDEX(MO_CFS_CFO_BeforeWC,1,COLUMN()))-ROW(INDEX(MO_CFS_CFO,1,COLUMN())),0,ROW(INDEX(MO_CFS_CFO,1,COLUMN()))-ROW(INDEX(MO_CFS_CFO_BeforeWC,1,COLUMN())),1)),6)</f>
        <v>0</v>
      </c>
      <c r="Q726" s="942"/>
      <c r="R726" s="942"/>
      <c r="S726" s="942"/>
      <c r="T726" s="942"/>
      <c r="U726" s="942">
        <f ca="1">ROUND(SUM(Q575,R575,S575,T575)-SUM(OFFSET(INDEX(MO_CFS_CFO,1,COLUMN()),ROW(INDEX(MO_CFS_CFO_BeforeWC,1,COLUMN()))-ROW(INDEX(MO_CFS_CFO,1,COLUMN())),0,ROW(INDEX(MO_CFS_CFO,1,COLUMN()))-ROW(INDEX(MO_CFS_CFO_BeforeWC,1,COLUMN())),1)),6)</f>
        <v>0</v>
      </c>
      <c r="V726" s="942"/>
      <c r="W726" s="942"/>
      <c r="X726" s="942"/>
      <c r="Y726" s="942"/>
      <c r="Z726" s="942">
        <f ca="1">ROUND(SUM(V575,W575,X575,Y575)-SUM(OFFSET(INDEX(MO_CFS_CFO,1,COLUMN()),ROW(INDEX(MO_CFS_CFO_BeforeWC,1,COLUMN()))-ROW(INDEX(MO_CFS_CFO,1,COLUMN())),0,ROW(INDEX(MO_CFS_CFO,1,COLUMN()))-ROW(INDEX(MO_CFS_CFO_BeforeWC,1,COLUMN())),1)),6)</f>
        <v>0</v>
      </c>
      <c r="AA726" s="942"/>
      <c r="AB726" s="942"/>
      <c r="AC726" s="942"/>
      <c r="AD726" s="942"/>
      <c r="AE726" s="942">
        <f ca="1">ROUND(SUM(AA575,AB575,AC575,AD575)-SUM(OFFSET(INDEX(MO_CFS_CFO,1,COLUMN()),ROW(INDEX(MO_CFS_CFO_BeforeWC,1,COLUMN()))-ROW(INDEX(MO_CFS_CFO,1,COLUMN())),0,ROW(INDEX(MO_CFS_CFO,1,COLUMN()))-ROW(INDEX(MO_CFS_CFO_BeforeWC,1,COLUMN())),1)),6)</f>
        <v>0</v>
      </c>
      <c r="AF726" s="942"/>
      <c r="AG726" s="942"/>
      <c r="AH726" s="942"/>
      <c r="AI726" s="942"/>
      <c r="AJ726" s="942">
        <f ca="1">ROUND(SUM(AF575,AG575,AH575,AI575)-SUM(OFFSET(INDEX(MO_CFS_CFO,1,COLUMN()),ROW(INDEX(MO_CFS_CFO_BeforeWC,1,COLUMN()))-ROW(INDEX(MO_CFS_CFO,1,COLUMN())),0,ROW(INDEX(MO_CFS_CFO,1,COLUMN()))-ROW(INDEX(MO_CFS_CFO_BeforeWC,1,COLUMN())),1)),6)</f>
        <v>0</v>
      </c>
      <c r="AK726" s="942"/>
      <c r="AL726" s="942"/>
      <c r="AM726" s="942"/>
      <c r="AN726" s="942"/>
      <c r="AO726" s="942">
        <f ca="1">ROUND(SUM(AK575,AL575,AM575,AN575)-SUM(OFFSET(INDEX(MO_CFS_CFO,1,COLUMN()),ROW(INDEX(MO_CFS_CFO_BeforeWC,1,COLUMN()))-ROW(INDEX(MO_CFS_CFO,1,COLUMN())),0,ROW(INDEX(MO_CFS_CFO,1,COLUMN()))-ROW(INDEX(MO_CFS_CFO_BeforeWC,1,COLUMN())),1)),6)</f>
        <v>0</v>
      </c>
      <c r="AP726" s="942"/>
      <c r="AQ726" s="942"/>
      <c r="AR726" s="942"/>
      <c r="AS726" s="942"/>
      <c r="AT726" s="942">
        <f ca="1">ROUND(SUM(AP575,AQ575,AR575,AS575)-SUM(OFFSET(INDEX(MO_CFS_CFO,1,COLUMN()),ROW(INDEX(MO_CFS_CFO_BeforeWC,1,COLUMN()))-ROW(INDEX(MO_CFS_CFO,1,COLUMN())),0,ROW(INDEX(MO_CFS_CFO,1,COLUMN()))-ROW(INDEX(MO_CFS_CFO_BeforeWC,1,COLUMN())),1)),6)</f>
        <v>0</v>
      </c>
      <c r="AU726" s="942"/>
      <c r="AV726" s="942"/>
      <c r="AW726" s="943"/>
      <c r="AX726" s="942"/>
      <c r="AY726" s="942">
        <f ca="1">ROUND(SUM(AU575,AV575,AW575,AX575)-SUM(OFFSET(INDEX(MO_CFS_CFO,1,COLUMN()),ROW(INDEX(MO_CFS_CFO_BeforeWC,1,COLUMN()))-ROW(INDEX(MO_CFS_CFO,1,COLUMN())),0,ROW(INDEX(MO_CFS_CFO,1,COLUMN()))-ROW(INDEX(MO_CFS_CFO_BeforeWC,1,COLUMN())),1)),6)</f>
        <v>0</v>
      </c>
      <c r="AZ726" s="942"/>
      <c r="BA726" s="942"/>
      <c r="BB726" s="942"/>
      <c r="BC726" s="942"/>
      <c r="BD726" s="942">
        <f ca="1">ROUND(SUM(AZ575,BA575,BB575,BC575)-SUM(OFFSET(INDEX(MO_CFS_CFO,1,COLUMN()),ROW(INDEX(MO_CFS_CFO_BeforeWC,1,COLUMN()))-ROW(INDEX(MO_CFS_CFO,1,COLUMN())),0,ROW(INDEX(MO_CFS_CFO,1,COLUMN()))-ROW(INDEX(MO_CFS_CFO_BeforeWC,1,COLUMN())),1)),6)</f>
        <v>0</v>
      </c>
      <c r="BE726" s="942"/>
      <c r="BF726" s="942"/>
      <c r="BG726" s="942"/>
      <c r="BH726" s="821"/>
    </row>
    <row r="727" spans="1:60" customFormat="1" x14ac:dyDescent="0.25">
      <c r="A727" s="821" t="s">
        <v>245</v>
      </c>
      <c r="B727" s="818"/>
      <c r="C727" s="942"/>
      <c r="D727" s="942"/>
      <c r="E727" s="942"/>
      <c r="F727" s="942"/>
      <c r="G727" s="942"/>
      <c r="H727" s="942"/>
      <c r="I727" s="942"/>
      <c r="J727" s="942"/>
      <c r="K727" s="942">
        <f ca="1">ROUND(SUM(G588,H588,I588,J588)-SUM(OFFSET(INDEX(MO_CFS_CFI,1,COLUMN()),ROW(INDEX(MO_SubSection_CFS_CFI,1,COLUMN()))-ROW(INDEX(MO_CFS_CFI,1,COLUMN())),0,ROW(INDEX(MO_CFS_CFI,1,COLUMN()))-ROW(INDEX(MO_SubSection_CFS_CFI,1,COLUMN())),1)),6)</f>
        <v>0</v>
      </c>
      <c r="L727" s="942"/>
      <c r="M727" s="942"/>
      <c r="N727" s="942"/>
      <c r="O727" s="942"/>
      <c r="P727" s="942">
        <f ca="1">ROUND(SUM(L588,M588,N588,O588)-SUM(OFFSET(INDEX(MO_CFS_CFI,1,COLUMN()),ROW(INDEX(MO_SubSection_CFS_CFI,1,COLUMN()))-ROW(INDEX(MO_CFS_CFI,1,COLUMN())),0,ROW(INDEX(MO_CFS_CFI,1,COLUMN()))-ROW(INDEX(MO_SubSection_CFS_CFI,1,COLUMN())),1)),6)</f>
        <v>0</v>
      </c>
      <c r="Q727" s="942"/>
      <c r="R727" s="942"/>
      <c r="S727" s="942"/>
      <c r="T727" s="942"/>
      <c r="U727" s="942">
        <f ca="1">ROUND(SUM(Q588,R588,S588,T588)-SUM(OFFSET(INDEX(MO_CFS_CFI,1,COLUMN()),ROW(INDEX(MO_SubSection_CFS_CFI,1,COLUMN()))-ROW(INDEX(MO_CFS_CFI,1,COLUMN())),0,ROW(INDEX(MO_CFS_CFI,1,COLUMN()))-ROW(INDEX(MO_SubSection_CFS_CFI,1,COLUMN())),1)),6)</f>
        <v>0</v>
      </c>
      <c r="V727" s="942"/>
      <c r="W727" s="942"/>
      <c r="X727" s="942"/>
      <c r="Y727" s="942"/>
      <c r="Z727" s="942">
        <f ca="1">ROUND(SUM(V588,W588,X588,Y588)-SUM(OFFSET(INDEX(MO_CFS_CFI,1,COLUMN()),ROW(INDEX(MO_SubSection_CFS_CFI,1,COLUMN()))-ROW(INDEX(MO_CFS_CFI,1,COLUMN())),0,ROW(INDEX(MO_CFS_CFI,1,COLUMN()))-ROW(INDEX(MO_SubSection_CFS_CFI,1,COLUMN())),1)),6)</f>
        <v>0</v>
      </c>
      <c r="AA727" s="942"/>
      <c r="AB727" s="942"/>
      <c r="AC727" s="942"/>
      <c r="AD727" s="942"/>
      <c r="AE727" s="942">
        <f ca="1">ROUND(SUM(AA588,AB588,AC588,AD588)-SUM(OFFSET(INDEX(MO_CFS_CFI,1,COLUMN()),ROW(INDEX(MO_SubSection_CFS_CFI,1,COLUMN()))-ROW(INDEX(MO_CFS_CFI,1,COLUMN())),0,ROW(INDEX(MO_CFS_CFI,1,COLUMN()))-ROW(INDEX(MO_SubSection_CFS_CFI,1,COLUMN())),1)),6)</f>
        <v>0</v>
      </c>
      <c r="AF727" s="942"/>
      <c r="AG727" s="942"/>
      <c r="AH727" s="942"/>
      <c r="AI727" s="942"/>
      <c r="AJ727" s="942">
        <f ca="1">ROUND(SUM(AF588,AG588,AH588,AI588)-SUM(OFFSET(INDEX(MO_CFS_CFI,1,COLUMN()),ROW(INDEX(MO_SubSection_CFS_CFI,1,COLUMN()))-ROW(INDEX(MO_CFS_CFI,1,COLUMN())),0,ROW(INDEX(MO_CFS_CFI,1,COLUMN()))-ROW(INDEX(MO_SubSection_CFS_CFI,1,COLUMN())),1)),6)</f>
        <v>0</v>
      </c>
      <c r="AK727" s="942"/>
      <c r="AL727" s="942"/>
      <c r="AM727" s="942"/>
      <c r="AN727" s="942"/>
      <c r="AO727" s="942">
        <f ca="1">ROUND(SUM(AK588,AL588,AM588,AN588)-SUM(OFFSET(INDEX(MO_CFS_CFI,1,COLUMN()),ROW(INDEX(MO_SubSection_CFS_CFI,1,COLUMN()))-ROW(INDEX(MO_CFS_CFI,1,COLUMN())),0,ROW(INDEX(MO_CFS_CFI,1,COLUMN()))-ROW(INDEX(MO_SubSection_CFS_CFI,1,COLUMN())),1)),6)</f>
        <v>0</v>
      </c>
      <c r="AP727" s="942"/>
      <c r="AQ727" s="942"/>
      <c r="AR727" s="942"/>
      <c r="AS727" s="942"/>
      <c r="AT727" s="942">
        <f ca="1">ROUND(SUM(AP588,AQ588,AR588,AS588)-SUM(OFFSET(INDEX(MO_CFS_CFI,1,COLUMN()),ROW(INDEX(MO_SubSection_CFS_CFI,1,COLUMN()))-ROW(INDEX(MO_CFS_CFI,1,COLUMN())),0,ROW(INDEX(MO_CFS_CFI,1,COLUMN()))-ROW(INDEX(MO_SubSection_CFS_CFI,1,COLUMN())),1)),6)</f>
        <v>0</v>
      </c>
      <c r="AU727" s="942"/>
      <c r="AV727" s="942"/>
      <c r="AW727" s="943"/>
      <c r="AX727" s="942"/>
      <c r="AY727" s="942">
        <f ca="1">ROUND(SUM(AU588,AV588,AW588,AX588)-SUM(OFFSET(INDEX(MO_CFS_CFI,1,COLUMN()),ROW(INDEX(MO_SubSection_CFS_CFI,1,COLUMN()))-ROW(INDEX(MO_CFS_CFI,1,COLUMN())),0,ROW(INDEX(MO_CFS_CFI,1,COLUMN()))-ROW(INDEX(MO_SubSection_CFS_CFI,1,COLUMN())),1)),6)</f>
        <v>0</v>
      </c>
      <c r="AZ727" s="942"/>
      <c r="BA727" s="942"/>
      <c r="BB727" s="942"/>
      <c r="BC727" s="942"/>
      <c r="BD727" s="942">
        <f ca="1">ROUND(SUM(AZ588,BA588,BB588,BC588)-SUM(OFFSET(INDEX(MO_CFS_CFI,1,COLUMN()),ROW(INDEX(MO_SubSection_CFS_CFI,1,COLUMN()))-ROW(INDEX(MO_CFS_CFI,1,COLUMN())),0,ROW(INDEX(MO_CFS_CFI,1,COLUMN()))-ROW(INDEX(MO_SubSection_CFS_CFI,1,COLUMN())),1)),6)</f>
        <v>0</v>
      </c>
      <c r="BE727" s="942"/>
      <c r="BF727" s="942"/>
      <c r="BG727" s="942"/>
      <c r="BH727" s="821"/>
    </row>
    <row r="728" spans="1:60" customFormat="1" x14ac:dyDescent="0.25">
      <c r="A728" s="821" t="s">
        <v>246</v>
      </c>
      <c r="B728" s="818"/>
      <c r="C728" s="942"/>
      <c r="D728" s="942"/>
      <c r="E728" s="942"/>
      <c r="F728" s="942"/>
      <c r="G728" s="942"/>
      <c r="H728" s="942"/>
      <c r="I728" s="942"/>
      <c r="J728" s="942"/>
      <c r="K728" s="942">
        <f ca="1">ROUND(SUM(G605,H605,I605,J605)-SUM(OFFSET(INDEX(MO_CFS_CFF,1,COLUMN()),ROW(INDEX(MO_SubSection_CFS_CFF,1,COLUMN()))-ROW(INDEX(MO_CFS_CFF,1,COLUMN())),0,ROW(INDEX(MO_CFS_CFF,1,COLUMN()))-ROW(INDEX(MO_SubSection_CFS_CFF,1,COLUMN())),1)),6)</f>
        <v>0</v>
      </c>
      <c r="L728" s="942"/>
      <c r="M728" s="942"/>
      <c r="N728" s="942"/>
      <c r="O728" s="942"/>
      <c r="P728" s="942">
        <f ca="1">ROUND(SUM(L605,M605,N605,O605)-SUM(OFFSET(INDEX(MO_CFS_CFF,1,COLUMN()),ROW(INDEX(MO_SubSection_CFS_CFF,1,COLUMN()))-ROW(INDEX(MO_CFS_CFF,1,COLUMN())),0,ROW(INDEX(MO_CFS_CFF,1,COLUMN()))-ROW(INDEX(MO_SubSection_CFS_CFF,1,COLUMN())),1)),6)</f>
        <v>0</v>
      </c>
      <c r="Q728" s="942"/>
      <c r="R728" s="942"/>
      <c r="S728" s="942"/>
      <c r="T728" s="942"/>
      <c r="U728" s="942">
        <f ca="1">ROUND(SUM(Q605,R605,S605,T605)-SUM(OFFSET(INDEX(MO_CFS_CFF,1,COLUMN()),ROW(INDEX(MO_SubSection_CFS_CFF,1,COLUMN()))-ROW(INDEX(MO_CFS_CFF,1,COLUMN())),0,ROW(INDEX(MO_CFS_CFF,1,COLUMN()))-ROW(INDEX(MO_SubSection_CFS_CFF,1,COLUMN())),1)),6)</f>
        <v>0</v>
      </c>
      <c r="V728" s="942"/>
      <c r="W728" s="942"/>
      <c r="X728" s="942"/>
      <c r="Y728" s="942"/>
      <c r="Z728" s="942">
        <f ca="1">ROUND(SUM(V605,W605,X605,Y605)-SUM(OFFSET(INDEX(MO_CFS_CFF,1,COLUMN()),ROW(INDEX(MO_SubSection_CFS_CFF,1,COLUMN()))-ROW(INDEX(MO_CFS_CFF,1,COLUMN())),0,ROW(INDEX(MO_CFS_CFF,1,COLUMN()))-ROW(INDEX(MO_SubSection_CFS_CFF,1,COLUMN())),1)),6)</f>
        <v>0</v>
      </c>
      <c r="AA728" s="942"/>
      <c r="AB728" s="942"/>
      <c r="AC728" s="942"/>
      <c r="AD728" s="942"/>
      <c r="AE728" s="942">
        <f ca="1">ROUND(SUM(AA605,AB605,AC605,AD605)-SUM(OFFSET(INDEX(MO_CFS_CFF,1,COLUMN()),ROW(INDEX(MO_SubSection_CFS_CFF,1,COLUMN()))-ROW(INDEX(MO_CFS_CFF,1,COLUMN())),0,ROW(INDEX(MO_CFS_CFF,1,COLUMN()))-ROW(INDEX(MO_SubSection_CFS_CFF,1,COLUMN())),1)),6)</f>
        <v>0</v>
      </c>
      <c r="AF728" s="942"/>
      <c r="AG728" s="942"/>
      <c r="AH728" s="942"/>
      <c r="AI728" s="942"/>
      <c r="AJ728" s="942">
        <f ca="1">ROUND(SUM(AF605,AG605,AH605,AI605)-SUM(OFFSET(INDEX(MO_CFS_CFF,1,COLUMN()),ROW(INDEX(MO_SubSection_CFS_CFF,1,COLUMN()))-ROW(INDEX(MO_CFS_CFF,1,COLUMN())),0,ROW(INDEX(MO_CFS_CFF,1,COLUMN()))-ROW(INDEX(MO_SubSection_CFS_CFF,1,COLUMN())),1)),6)</f>
        <v>0</v>
      </c>
      <c r="AK728" s="942"/>
      <c r="AL728" s="942"/>
      <c r="AM728" s="942"/>
      <c r="AN728" s="942"/>
      <c r="AO728" s="942">
        <f ca="1">ROUND(SUM(AK605,AL605,AM605,AN605)-SUM(OFFSET(INDEX(MO_CFS_CFF,1,COLUMN()),ROW(INDEX(MO_SubSection_CFS_CFF,1,COLUMN()))-ROW(INDEX(MO_CFS_CFF,1,COLUMN())),0,ROW(INDEX(MO_CFS_CFF,1,COLUMN()))-ROW(INDEX(MO_SubSection_CFS_CFF,1,COLUMN())),1)),6)</f>
        <v>0</v>
      </c>
      <c r="AP728" s="942"/>
      <c r="AQ728" s="942"/>
      <c r="AR728" s="942"/>
      <c r="AS728" s="942"/>
      <c r="AT728" s="942">
        <f ca="1">ROUND(SUM(AP605,AQ605,AR605,AS605)-SUM(OFFSET(INDEX(MO_CFS_CFF,1,COLUMN()),ROW(INDEX(MO_SubSection_CFS_CFF,1,COLUMN()))-ROW(INDEX(MO_CFS_CFF,1,COLUMN())),0,ROW(INDEX(MO_CFS_CFF,1,COLUMN()))-ROW(INDEX(MO_SubSection_CFS_CFF,1,COLUMN())),1)),6)</f>
        <v>0</v>
      </c>
      <c r="AU728" s="942"/>
      <c r="AV728" s="942"/>
      <c r="AW728" s="943"/>
      <c r="AX728" s="942"/>
      <c r="AY728" s="942">
        <f ca="1">ROUND(SUM(AU605,AV605,AW605,AX605)-SUM(OFFSET(INDEX(MO_CFS_CFF,1,COLUMN()),ROW(INDEX(MO_SubSection_CFS_CFF,1,COLUMN()))-ROW(INDEX(MO_CFS_CFF,1,COLUMN())),0,ROW(INDEX(MO_CFS_CFF,1,COLUMN()))-ROW(INDEX(MO_SubSection_CFS_CFF,1,COLUMN())),1)),6)</f>
        <v>0</v>
      </c>
      <c r="AZ728" s="942"/>
      <c r="BA728" s="942"/>
      <c r="BB728" s="942"/>
      <c r="BC728" s="942"/>
      <c r="BD728" s="942">
        <f ca="1">ROUND(SUM(AZ605,BA605,BB605,BC605)-SUM(OFFSET(INDEX(MO_CFS_CFF,1,COLUMN()),ROW(INDEX(MO_SubSection_CFS_CFF,1,COLUMN()))-ROW(INDEX(MO_CFS_CFF,1,COLUMN())),0,ROW(INDEX(MO_CFS_CFF,1,COLUMN()))-ROW(INDEX(MO_SubSection_CFS_CFF,1,COLUMN())),1)),6)</f>
        <v>0</v>
      </c>
      <c r="BE728" s="942"/>
      <c r="BF728" s="942"/>
      <c r="BG728" s="942"/>
      <c r="BH728" s="821"/>
    </row>
    <row r="729" spans="1:60" customFormat="1" x14ac:dyDescent="0.25">
      <c r="A729" s="821" t="s">
        <v>247</v>
      </c>
      <c r="B729" s="818"/>
      <c r="C729" s="942"/>
      <c r="D729" s="942"/>
      <c r="E729" s="942"/>
      <c r="F729" s="942"/>
      <c r="G729" s="942"/>
      <c r="H729" s="942"/>
      <c r="I729" s="942"/>
      <c r="J729" s="942"/>
      <c r="K729" s="942">
        <f>ROUND(SUM(INDEX(MO_CFSum_Acquisition,0,COLUMN()),INDEX(MO_CFSum_Capex,0,COLUMN()),INDEX(MO_CFSum_Divestiture,0,COLUMN()),INDEX(MO_CFSum_Dividend,0,COLUMN()))-SUM(G435,H435,I435,J435,G436,H436,I436,J436,G437,H437,I437,J437)-SUM(G433,H433,I433,J433),6)</f>
        <v>0</v>
      </c>
      <c r="L729" s="942"/>
      <c r="M729" s="942"/>
      <c r="N729" s="942"/>
      <c r="O729" s="942"/>
      <c r="P729" s="942">
        <f>ROUND(SUM(INDEX(MO_CFSum_Acquisition,0,COLUMN()),INDEX(MO_CFSum_Capex,0,COLUMN()),INDEX(MO_CFSum_Divestiture,0,COLUMN()),INDEX(MO_CFSum_Dividend,0,COLUMN()))-SUM(L435,M435,N435,O435,L436,M436,N436,O436,L437,M437,N437,O437)-SUM(L433,M433,N433,O433),6)</f>
        <v>0</v>
      </c>
      <c r="Q729" s="942"/>
      <c r="R729" s="942"/>
      <c r="S729" s="942"/>
      <c r="T729" s="942"/>
      <c r="U729" s="942">
        <f>ROUND(SUM(INDEX(MO_CFSum_Acquisition,0,COLUMN()),INDEX(MO_CFSum_Capex,0,COLUMN()),INDEX(MO_CFSum_Divestiture,0,COLUMN()),INDEX(MO_CFSum_Dividend,0,COLUMN()))-SUM(Q435,R435,S435,T435,Q436,R436,S436,T436,Q437,R437,S437,T437)-SUM(Q433,R433,S433,T433),6)</f>
        <v>0</v>
      </c>
      <c r="V729" s="942"/>
      <c r="W729" s="942"/>
      <c r="X729" s="942"/>
      <c r="Y729" s="942"/>
      <c r="Z729" s="942">
        <f>ROUND(SUM(INDEX(MO_CFSum_Acquisition,0,COLUMN()),INDEX(MO_CFSum_Capex,0,COLUMN()),INDEX(MO_CFSum_Divestiture,0,COLUMN()),INDEX(MO_CFSum_Dividend,0,COLUMN()))-SUM(V435,W435,X435,Y435,V436,W436,X436,Y436,V437,W437,X437,Y437)-SUM(V433,W433,X433,Y433),6)</f>
        <v>0</v>
      </c>
      <c r="AA729" s="942"/>
      <c r="AB729" s="942"/>
      <c r="AC729" s="942"/>
      <c r="AD729" s="942"/>
      <c r="AE729" s="942">
        <f>ROUND(SUM(INDEX(MO_CFSum_Acquisition,0,COLUMN()),INDEX(MO_CFSum_Capex,0,COLUMN()),INDEX(MO_CFSum_Divestiture,0,COLUMN()),INDEX(MO_CFSum_Dividend,0,COLUMN()))-SUM(AA435,AB435,AC435,AD435,AA436,AB436,AC436,AD436,AA437,AB437,AC437,AD437)-SUM(AA433,AB433,AC433,AD433),6)</f>
        <v>0</v>
      </c>
      <c r="AF729" s="942"/>
      <c r="AG729" s="942"/>
      <c r="AH729" s="942"/>
      <c r="AI729" s="942"/>
      <c r="AJ729" s="942">
        <f>ROUND(SUM(INDEX(MO_CFSum_Acquisition,0,COLUMN()),INDEX(MO_CFSum_Capex,0,COLUMN()),INDEX(MO_CFSum_Divestiture,0,COLUMN()),INDEX(MO_CFSum_Dividend,0,COLUMN()))-SUM(AF435,AG435,AH435,AI435,AF436,AG436,AH436,AI436,AF437,AG437,AH437,AI437)-SUM(AF433,AG433,AH433,AI433),6)</f>
        <v>0</v>
      </c>
      <c r="AK729" s="942"/>
      <c r="AL729" s="942"/>
      <c r="AM729" s="942"/>
      <c r="AN729" s="942"/>
      <c r="AO729" s="942">
        <f>ROUND(SUM(INDEX(MO_CFSum_Acquisition,0,COLUMN()),INDEX(MO_CFSum_Capex,0,COLUMN()),INDEX(MO_CFSum_Divestiture,0,COLUMN()),INDEX(MO_CFSum_Dividend,0,COLUMN()))-SUM(AK435,AL435,AM435,AN435,AK436,AL436,AM436,AN436,AK437,AL437,AM437,AN437)-SUM(AK433,AL433,AM433,AN433),6)</f>
        <v>0</v>
      </c>
      <c r="AP729" s="942"/>
      <c r="AQ729" s="942"/>
      <c r="AR729" s="942"/>
      <c r="AS729" s="942"/>
      <c r="AT729" s="942">
        <f>ROUND(SUM(INDEX(MO_CFSum_Acquisition,0,COLUMN()),INDEX(MO_CFSum_Capex,0,COLUMN()),INDEX(MO_CFSum_Divestiture,0,COLUMN()),INDEX(MO_CFSum_Dividend,0,COLUMN()))-SUM(AP435,AQ435,AR435,AS435,AP436,AQ436,AR436,AS436,AP437,AQ437,AR437,AS437)-SUM(AP433,AQ433,AR433,AS433),6)</f>
        <v>0</v>
      </c>
      <c r="AU729" s="942"/>
      <c r="AV729" s="942"/>
      <c r="AW729" s="943"/>
      <c r="AX729" s="942"/>
      <c r="AY729" s="942">
        <f ca="1">ROUND(SUM(INDEX(MO_CFSum_Acquisition,0,COLUMN()),INDEX(MO_CFSum_Capex,0,COLUMN()),INDEX(MO_CFSum_Divestiture,0,COLUMN()),INDEX(MO_CFSum_Dividend,0,COLUMN()))-SUM(AU435,AV435,AW435,AX435,AU436,AV436,AW436,AX436,AU437,AV437,AW437,AX437)-SUM(AU433,AV433,AW433,AX433),6)</f>
        <v>0</v>
      </c>
      <c r="AZ729" s="942"/>
      <c r="BA729" s="942"/>
      <c r="BB729" s="942"/>
      <c r="BC729" s="942"/>
      <c r="BD729" s="942">
        <f ca="1">ROUND(SUM(INDEX(MO_CFSum_Acquisition,0,COLUMN()),INDEX(MO_CFSum_Capex,0,COLUMN()),INDEX(MO_CFSum_Divestiture,0,COLUMN()),INDEX(MO_CFSum_Dividend,0,COLUMN()))-SUM(AZ435,BA435,BB435,BC435,AZ436,BA436,BB436,BC436,AZ437,BA437,BB437,BC437)-SUM(AZ433,BA433,BB433,BC433),6)</f>
        <v>0</v>
      </c>
      <c r="BE729" s="942"/>
      <c r="BF729" s="942"/>
      <c r="BG729" s="942"/>
      <c r="BH729" s="821"/>
    </row>
    <row r="730" spans="1:60" customFormat="1" x14ac:dyDescent="0.25">
      <c r="A730" s="822"/>
      <c r="B730" s="818"/>
      <c r="C730" s="855"/>
      <c r="D730" s="855"/>
      <c r="E730" s="855"/>
      <c r="F730" s="855"/>
      <c r="G730" s="855"/>
      <c r="H730" s="855"/>
      <c r="I730" s="855"/>
      <c r="J730" s="855"/>
      <c r="K730" s="855"/>
      <c r="L730" s="855"/>
      <c r="M730" s="855"/>
      <c r="N730" s="855"/>
      <c r="O730" s="855"/>
      <c r="P730" s="855"/>
      <c r="Q730" s="855"/>
      <c r="R730" s="855"/>
      <c r="S730" s="855"/>
      <c r="T730" s="855"/>
      <c r="U730" s="855"/>
      <c r="V730" s="855"/>
      <c r="W730" s="867"/>
      <c r="X730" s="855"/>
      <c r="Y730" s="867"/>
      <c r="Z730" s="867"/>
      <c r="AA730" s="867"/>
      <c r="AB730" s="867"/>
      <c r="AC730" s="855"/>
      <c r="AD730" s="867"/>
      <c r="AE730" s="867"/>
      <c r="AF730" s="867"/>
      <c r="AG730" s="867"/>
      <c r="AH730" s="855"/>
      <c r="AI730" s="867"/>
      <c r="AJ730" s="867"/>
      <c r="AK730" s="867"/>
      <c r="AL730" s="867"/>
      <c r="AM730" s="855"/>
      <c r="AN730" s="867"/>
      <c r="AO730" s="867"/>
      <c r="AP730" s="867"/>
      <c r="AQ730" s="867"/>
      <c r="AR730" s="855"/>
      <c r="AS730" s="867"/>
      <c r="AT730" s="867"/>
      <c r="AU730" s="867"/>
      <c r="AV730" s="867"/>
      <c r="AW730" s="863"/>
      <c r="AX730" s="867"/>
      <c r="AY730" s="867"/>
      <c r="AZ730" s="867"/>
      <c r="BA730" s="867"/>
      <c r="BB730" s="867"/>
      <c r="BC730" s="867"/>
      <c r="BD730" s="867"/>
      <c r="BE730" s="867"/>
      <c r="BF730" s="867"/>
      <c r="BG730" s="867"/>
      <c r="BH730" s="821"/>
    </row>
    <row r="731" spans="1:60" customFormat="1" x14ac:dyDescent="0.25">
      <c r="A731" s="832" t="s">
        <v>248</v>
      </c>
      <c r="B731" s="832"/>
      <c r="C731" s="832"/>
      <c r="D731" s="832"/>
      <c r="E731" s="832"/>
      <c r="F731" s="832"/>
      <c r="G731" s="832"/>
      <c r="H731" s="832"/>
      <c r="I731" s="832"/>
      <c r="J731" s="832"/>
      <c r="K731" s="832"/>
      <c r="L731" s="832"/>
      <c r="M731" s="832"/>
      <c r="N731" s="832"/>
      <c r="O731" s="832"/>
      <c r="P731" s="832"/>
      <c r="Q731" s="832"/>
      <c r="R731" s="832"/>
      <c r="S731" s="832"/>
      <c r="T731" s="832"/>
      <c r="U731" s="832"/>
      <c r="V731" s="832"/>
      <c r="W731" s="832"/>
      <c r="X731" s="832"/>
      <c r="Y731" s="832"/>
      <c r="Z731" s="832"/>
      <c r="AA731" s="832"/>
      <c r="AB731" s="832"/>
      <c r="AC731" s="832"/>
      <c r="AD731" s="832"/>
      <c r="AE731" s="832"/>
      <c r="AF731" s="832"/>
      <c r="AG731" s="832"/>
      <c r="AH731" s="832"/>
      <c r="AI731" s="832"/>
      <c r="AJ731" s="832"/>
      <c r="AK731" s="832"/>
      <c r="AL731" s="832"/>
      <c r="AM731" s="832"/>
      <c r="AN731" s="832"/>
      <c r="AO731" s="832"/>
      <c r="AP731" s="832"/>
      <c r="AQ731" s="832"/>
      <c r="AR731" s="832"/>
      <c r="AS731" s="832"/>
      <c r="AT731" s="832"/>
      <c r="AU731" s="832"/>
      <c r="AV731" s="832"/>
      <c r="AW731" s="833"/>
      <c r="AX731" s="832"/>
      <c r="AY731" s="832"/>
      <c r="AZ731" s="832"/>
      <c r="BA731" s="832"/>
      <c r="BB731" s="832"/>
      <c r="BC731" s="832"/>
      <c r="BD731" s="832"/>
      <c r="BE731" s="832"/>
      <c r="BF731" s="832"/>
      <c r="BG731" s="832"/>
      <c r="BH731" s="824"/>
    </row>
    <row r="732" spans="1:60" customFormat="1" x14ac:dyDescent="0.25">
      <c r="A732" s="533"/>
      <c r="B732" s="822"/>
      <c r="C732" s="169"/>
      <c r="D732" s="169"/>
      <c r="E732" s="822"/>
      <c r="F732" s="822"/>
      <c r="G732" s="822"/>
      <c r="H732" s="822"/>
      <c r="I732" s="822"/>
      <c r="J732" s="822"/>
      <c r="K732" s="822"/>
      <c r="L732" s="822"/>
      <c r="M732" s="822"/>
      <c r="N732" s="822"/>
      <c r="O732" s="822"/>
      <c r="P732" s="822"/>
      <c r="Q732" s="822"/>
      <c r="R732" s="822"/>
      <c r="S732" s="822"/>
      <c r="T732" s="822"/>
      <c r="U732" s="822"/>
      <c r="V732" s="822"/>
      <c r="W732" s="822"/>
      <c r="X732" s="822"/>
      <c r="Y732" s="822"/>
      <c r="Z732" s="822"/>
      <c r="AA732" s="822"/>
      <c r="AB732" s="822"/>
      <c r="AC732" s="822"/>
      <c r="AD732" s="822"/>
      <c r="AE732" s="822"/>
      <c r="AF732" s="822"/>
      <c r="AG732" s="822"/>
      <c r="AH732" s="822"/>
      <c r="AI732" s="822"/>
      <c r="AJ732" s="822"/>
      <c r="AK732" s="822"/>
      <c r="AL732" s="822"/>
      <c r="AM732" s="822"/>
      <c r="AN732" s="822"/>
      <c r="AO732" s="822"/>
      <c r="AP732" s="822"/>
      <c r="AQ732" s="822"/>
      <c r="AR732" s="822"/>
      <c r="AS732" s="822"/>
      <c r="AT732" s="822"/>
      <c r="AU732" s="822"/>
      <c r="AV732" s="822"/>
      <c r="AW732" s="823"/>
      <c r="AX732" s="822"/>
      <c r="AY732" s="822"/>
      <c r="AZ732" s="822"/>
      <c r="BA732" s="822"/>
      <c r="BB732" s="822"/>
      <c r="BC732" s="822"/>
      <c r="BD732" s="822"/>
      <c r="BE732" s="822"/>
      <c r="BF732" s="822"/>
      <c r="BG732" s="822"/>
      <c r="BH732" s="821"/>
    </row>
    <row r="733" spans="1:60" customFormat="1" x14ac:dyDescent="0.25">
      <c r="A733" s="350" t="s">
        <v>249</v>
      </c>
      <c r="B733" s="534"/>
      <c r="C733" s="535"/>
      <c r="D733" s="535"/>
      <c r="E733" s="399"/>
      <c r="F733" s="399"/>
      <c r="G733" s="399"/>
      <c r="H733" s="399"/>
      <c r="I733" s="399"/>
      <c r="J733" s="399"/>
      <c r="K733" s="399"/>
      <c r="L733" s="399"/>
      <c r="M733" s="399"/>
      <c r="N733" s="399"/>
      <c r="O733" s="399"/>
      <c r="P733" s="399"/>
      <c r="Q733" s="399"/>
      <c r="R733" s="399"/>
      <c r="S733" s="399"/>
      <c r="T733" s="399"/>
      <c r="U733" s="399"/>
      <c r="V733" s="399"/>
      <c r="W733" s="399"/>
      <c r="X733" s="399"/>
      <c r="Y733" s="399"/>
      <c r="Z733" s="399"/>
      <c r="AA733" s="399"/>
      <c r="AB733" s="399"/>
      <c r="AC733" s="399"/>
      <c r="AD733" s="399"/>
      <c r="AE733" s="399"/>
      <c r="AF733" s="399"/>
      <c r="AG733" s="399"/>
      <c r="AH733" s="399"/>
      <c r="AI733" s="399"/>
      <c r="AJ733" s="399"/>
      <c r="AK733" s="399"/>
      <c r="AL733" s="399"/>
      <c r="AM733" s="399"/>
      <c r="AN733" s="399"/>
      <c r="AO733" s="399"/>
      <c r="AP733" s="399"/>
      <c r="AQ733" s="399"/>
      <c r="AR733" s="399"/>
      <c r="AS733" s="399"/>
      <c r="AT733" s="399"/>
      <c r="AU733" s="399"/>
      <c r="AV733" s="399"/>
      <c r="AW733" s="574"/>
      <c r="AX733" s="399"/>
      <c r="AY733" s="399"/>
      <c r="AZ733" s="399"/>
      <c r="BA733" s="399"/>
      <c r="BB733" s="399"/>
      <c r="BC733" s="399"/>
      <c r="BD733" s="399"/>
      <c r="BE733" s="399"/>
      <c r="BF733" s="399"/>
      <c r="BG733" s="399"/>
      <c r="BH733" s="89"/>
    </row>
    <row r="734" spans="1:60" customFormat="1" x14ac:dyDescent="0.25">
      <c r="A734" s="351" t="s">
        <v>250</v>
      </c>
      <c r="B734" s="536"/>
      <c r="C734" s="460"/>
      <c r="D734" s="460"/>
      <c r="E734" s="406"/>
      <c r="F734" s="406"/>
      <c r="G734" s="406"/>
      <c r="H734" s="406"/>
      <c r="I734" s="406"/>
      <c r="J734" s="406"/>
      <c r="K734" s="406"/>
      <c r="L734" s="406"/>
      <c r="M734" s="406"/>
      <c r="N734" s="406"/>
      <c r="O734" s="406"/>
      <c r="P734" s="406"/>
      <c r="Q734" s="406"/>
      <c r="R734" s="406"/>
      <c r="S734" s="406"/>
      <c r="T734" s="406"/>
      <c r="U734" s="406"/>
      <c r="V734" s="406"/>
      <c r="W734" s="406"/>
      <c r="X734" s="406"/>
      <c r="Y734" s="406"/>
      <c r="Z734" s="406"/>
      <c r="AA734" s="406"/>
      <c r="AB734" s="406"/>
      <c r="AC734" s="406"/>
      <c r="AD734" s="406"/>
      <c r="AE734" s="406"/>
      <c r="AF734" s="406"/>
      <c r="AG734" s="406"/>
      <c r="AH734" s="406"/>
      <c r="AI734" s="406"/>
      <c r="AJ734" s="406"/>
      <c r="AK734" s="406"/>
      <c r="AL734" s="406"/>
      <c r="AM734" s="406"/>
      <c r="AN734" s="406"/>
      <c r="AO734" s="406"/>
      <c r="AP734" s="406"/>
      <c r="AQ734" s="406"/>
      <c r="AR734" s="406"/>
      <c r="AS734" s="406"/>
      <c r="AT734" s="406"/>
      <c r="AU734" s="406"/>
      <c r="AV734" s="406"/>
      <c r="AW734" s="572"/>
      <c r="AX734" s="406"/>
      <c r="AY734" s="406"/>
      <c r="AZ734" s="406"/>
      <c r="BA734" s="406"/>
      <c r="BB734" s="406"/>
      <c r="BC734" s="406"/>
      <c r="BD734" s="406"/>
      <c r="BE734" s="406"/>
      <c r="BF734" s="406"/>
      <c r="BG734" s="406"/>
      <c r="BH734" s="280"/>
    </row>
    <row r="735" spans="1:60" customFormat="1" x14ac:dyDescent="0.25">
      <c r="A735" s="352" t="s">
        <v>251</v>
      </c>
      <c r="B735" s="536"/>
      <c r="C735" s="460"/>
      <c r="D735" s="460"/>
      <c r="E735" s="406"/>
      <c r="F735" s="406"/>
      <c r="G735" s="406"/>
      <c r="H735" s="406"/>
      <c r="I735" s="406"/>
      <c r="J735" s="406"/>
      <c r="K735" s="406"/>
      <c r="L735" s="406"/>
      <c r="M735" s="406"/>
      <c r="N735" s="406"/>
      <c r="O735" s="406"/>
      <c r="P735" s="406"/>
      <c r="Q735" s="406"/>
      <c r="R735" s="406"/>
      <c r="S735" s="406"/>
      <c r="T735" s="406"/>
      <c r="U735" s="406"/>
      <c r="V735" s="406"/>
      <c r="W735" s="406"/>
      <c r="X735" s="406"/>
      <c r="Y735" s="406"/>
      <c r="Z735" s="406"/>
      <c r="AA735" s="406"/>
      <c r="AB735" s="406"/>
      <c r="AC735" s="406"/>
      <c r="AD735" s="406"/>
      <c r="AE735" s="406"/>
      <c r="AF735" s="406"/>
      <c r="AG735" s="406"/>
      <c r="AH735" s="406"/>
      <c r="AI735" s="406"/>
      <c r="AJ735" s="406"/>
      <c r="AK735" s="406"/>
      <c r="AL735" s="406"/>
      <c r="AM735" s="406"/>
      <c r="AN735" s="406"/>
      <c r="AO735" s="406"/>
      <c r="AP735" s="406"/>
      <c r="AQ735" s="406"/>
      <c r="AR735" s="406"/>
      <c r="AS735" s="406"/>
      <c r="AT735" s="406"/>
      <c r="AU735" s="406"/>
      <c r="AV735" s="406"/>
      <c r="AW735" s="572"/>
      <c r="AX735" s="406"/>
      <c r="AY735" s="406"/>
      <c r="AZ735" s="406"/>
      <c r="BA735" s="406"/>
      <c r="BB735" s="406"/>
      <c r="BC735" s="406"/>
      <c r="BD735" s="406"/>
      <c r="BE735" s="406"/>
      <c r="BF735" s="406"/>
      <c r="BG735" s="406"/>
      <c r="BH735" s="280"/>
    </row>
    <row r="736" spans="1:60" customFormat="1" x14ac:dyDescent="0.25">
      <c r="A736" s="353" t="s">
        <v>252</v>
      </c>
      <c r="B736" s="536"/>
      <c r="C736" s="460"/>
      <c r="D736" s="460"/>
      <c r="E736" s="406"/>
      <c r="F736" s="406"/>
      <c r="G736" s="406"/>
      <c r="H736" s="406"/>
      <c r="I736" s="406"/>
      <c r="J736" s="406"/>
      <c r="K736" s="406"/>
      <c r="L736" s="406"/>
      <c r="M736" s="406"/>
      <c r="N736" s="406"/>
      <c r="O736" s="406"/>
      <c r="P736" s="406"/>
      <c r="Q736" s="406"/>
      <c r="R736" s="406"/>
      <c r="S736" s="406"/>
      <c r="T736" s="406"/>
      <c r="U736" s="406"/>
      <c r="V736" s="406"/>
      <c r="W736" s="406"/>
      <c r="X736" s="406"/>
      <c r="Y736" s="406"/>
      <c r="Z736" s="406"/>
      <c r="AA736" s="406"/>
      <c r="AB736" s="406"/>
      <c r="AC736" s="406"/>
      <c r="AD736" s="406"/>
      <c r="AE736" s="406"/>
      <c r="AF736" s="406"/>
      <c r="AG736" s="406"/>
      <c r="AH736" s="406"/>
      <c r="AI736" s="406"/>
      <c r="AJ736" s="406"/>
      <c r="AK736" s="406"/>
      <c r="AL736" s="406"/>
      <c r="AM736" s="406"/>
      <c r="AN736" s="406"/>
      <c r="AO736" s="406"/>
      <c r="AP736" s="406"/>
      <c r="AQ736" s="406"/>
      <c r="AR736" s="406"/>
      <c r="AS736" s="406"/>
      <c r="AT736" s="406"/>
      <c r="AU736" s="406"/>
      <c r="AV736" s="406"/>
      <c r="AW736" s="572"/>
      <c r="AX736" s="406"/>
      <c r="AY736" s="406"/>
      <c r="AZ736" s="406"/>
      <c r="BA736" s="406"/>
      <c r="BB736" s="406"/>
      <c r="BC736" s="406"/>
      <c r="BD736" s="406"/>
      <c r="BE736" s="406"/>
      <c r="BF736" s="406"/>
      <c r="BG736" s="406"/>
      <c r="BH736" s="280"/>
    </row>
    <row r="737" spans="1:60" customFormat="1" x14ac:dyDescent="0.25">
      <c r="A737" s="458" t="s">
        <v>253</v>
      </c>
      <c r="B737" s="536"/>
      <c r="C737" s="460"/>
      <c r="D737" s="460"/>
      <c r="E737" s="406"/>
      <c r="F737" s="406"/>
      <c r="G737" s="406"/>
      <c r="H737" s="406"/>
      <c r="I737" s="406"/>
      <c r="J737" s="406"/>
      <c r="K737" s="406"/>
      <c r="L737" s="406"/>
      <c r="M737" s="406"/>
      <c r="N737" s="406"/>
      <c r="O737" s="406"/>
      <c r="P737" s="406"/>
      <c r="Q737" s="406"/>
      <c r="R737" s="406"/>
      <c r="S737" s="406"/>
      <c r="T737" s="406"/>
      <c r="U737" s="406"/>
      <c r="V737" s="406"/>
      <c r="W737" s="406"/>
      <c r="X737" s="406"/>
      <c r="Y737" s="406"/>
      <c r="Z737" s="406"/>
      <c r="AA737" s="406"/>
      <c r="AB737" s="406"/>
      <c r="AC737" s="406"/>
      <c r="AD737" s="406"/>
      <c r="AE737" s="406"/>
      <c r="AF737" s="406"/>
      <c r="AG737" s="406"/>
      <c r="AH737" s="406"/>
      <c r="AI737" s="406"/>
      <c r="AJ737" s="406"/>
      <c r="AK737" s="406"/>
      <c r="AL737" s="406"/>
      <c r="AM737" s="406"/>
      <c r="AN737" s="406"/>
      <c r="AO737" s="406"/>
      <c r="AP737" s="406"/>
      <c r="AQ737" s="406"/>
      <c r="AR737" s="406"/>
      <c r="AS737" s="406"/>
      <c r="AT737" s="406"/>
      <c r="AU737" s="406"/>
      <c r="AV737" s="406"/>
      <c r="AW737" s="572"/>
      <c r="AX737" s="406"/>
      <c r="AY737" s="406"/>
      <c r="AZ737" s="406"/>
      <c r="BA737" s="406"/>
      <c r="BB737" s="406"/>
      <c r="BC737" s="406"/>
      <c r="BD737" s="406"/>
      <c r="BE737" s="406"/>
      <c r="BF737" s="406"/>
      <c r="BG737" s="406"/>
      <c r="BH737" s="280"/>
    </row>
    <row r="738" spans="1:60" customFormat="1" x14ac:dyDescent="0.25">
      <c r="A738" s="338"/>
      <c r="B738" s="537"/>
      <c r="C738" s="460"/>
      <c r="D738" s="460"/>
      <c r="E738" s="406"/>
      <c r="F738" s="406"/>
      <c r="G738" s="406"/>
      <c r="H738" s="406"/>
      <c r="I738" s="406"/>
      <c r="J738" s="406"/>
      <c r="K738" s="406"/>
      <c r="L738" s="406"/>
      <c r="M738" s="406"/>
      <c r="N738" s="406"/>
      <c r="O738" s="406"/>
      <c r="P738" s="406"/>
      <c r="Q738" s="406"/>
      <c r="R738" s="406"/>
      <c r="S738" s="406"/>
      <c r="T738" s="406"/>
      <c r="U738" s="406"/>
      <c r="V738" s="406"/>
      <c r="W738" s="406"/>
      <c r="X738" s="406"/>
      <c r="Y738" s="406"/>
      <c r="Z738" s="406"/>
      <c r="AA738" s="406"/>
      <c r="AB738" s="406"/>
      <c r="AC738" s="406"/>
      <c r="AD738" s="406"/>
      <c r="AE738" s="406"/>
      <c r="AF738" s="406"/>
      <c r="AG738" s="406"/>
      <c r="AH738" s="406"/>
      <c r="AI738" s="406"/>
      <c r="AJ738" s="406"/>
      <c r="AK738" s="406"/>
      <c r="AL738" s="406"/>
      <c r="AM738" s="406"/>
      <c r="AN738" s="406"/>
      <c r="AO738" s="406"/>
      <c r="AP738" s="406"/>
      <c r="AQ738" s="406"/>
      <c r="AR738" s="406"/>
      <c r="AS738" s="406"/>
      <c r="AT738" s="406"/>
      <c r="AU738" s="406"/>
      <c r="AV738" s="406"/>
      <c r="AW738" s="572"/>
      <c r="AX738" s="406"/>
      <c r="AY738" s="406"/>
      <c r="AZ738" s="406"/>
      <c r="BA738" s="406"/>
      <c r="BB738" s="406"/>
      <c r="BC738" s="406"/>
      <c r="BD738" s="406"/>
      <c r="BE738" s="406"/>
      <c r="BF738" s="406"/>
      <c r="BG738" s="406"/>
      <c r="BH738" s="280"/>
    </row>
    <row r="739" spans="1:60" customFormat="1" x14ac:dyDescent="0.25">
      <c r="A739" s="354" t="s">
        <v>254</v>
      </c>
      <c r="B739" s="561"/>
      <c r="C739" s="538"/>
      <c r="D739" s="538"/>
      <c r="E739" s="538"/>
      <c r="F739" s="538"/>
      <c r="G739" s="538"/>
      <c r="H739" s="538"/>
      <c r="I739" s="538"/>
      <c r="J739" s="538"/>
      <c r="K739" s="538"/>
      <c r="L739" s="538"/>
      <c r="M739" s="538"/>
      <c r="N739" s="538"/>
      <c r="O739" s="538"/>
      <c r="P739" s="538"/>
      <c r="Q739" s="538"/>
      <c r="R739" s="538"/>
      <c r="S739" s="538"/>
      <c r="T739" s="538"/>
      <c r="U739" s="538"/>
      <c r="V739" s="538"/>
      <c r="W739" s="538"/>
      <c r="X739" s="538"/>
      <c r="Y739" s="538"/>
      <c r="Z739" s="538"/>
      <c r="AA739" s="538"/>
      <c r="AB739" s="538"/>
      <c r="AC739" s="538"/>
      <c r="AD739" s="538"/>
      <c r="AE739" s="538"/>
      <c r="AF739" s="538"/>
      <c r="AG739" s="538"/>
      <c r="AH739" s="538"/>
      <c r="AI739" s="538"/>
      <c r="AJ739" s="538"/>
      <c r="AK739" s="538"/>
      <c r="AL739" s="538"/>
      <c r="AM739" s="538"/>
      <c r="AN739" s="538"/>
      <c r="AO739" s="538"/>
      <c r="AP739" s="538"/>
      <c r="AQ739" s="538"/>
      <c r="AR739" s="538"/>
      <c r="AS739" s="538"/>
      <c r="AT739" s="538"/>
      <c r="AU739" s="538"/>
      <c r="AV739" s="538"/>
      <c r="AW739" s="599"/>
      <c r="AX739" s="538"/>
      <c r="AY739" s="538"/>
      <c r="AZ739" s="538"/>
      <c r="BA739" s="538"/>
      <c r="BB739" s="538"/>
      <c r="BC739" s="538"/>
      <c r="BD739" s="538"/>
      <c r="BE739" s="538"/>
      <c r="BF739" s="538"/>
      <c r="BG739" s="538"/>
      <c r="BH739" s="284"/>
    </row>
    <row r="740" spans="1:60" customFormat="1" x14ac:dyDescent="0.25">
      <c r="A740" s="348" t="s">
        <v>255</v>
      </c>
      <c r="B740" s="562">
        <v>1</v>
      </c>
      <c r="C740" s="406"/>
      <c r="D740" s="460"/>
      <c r="E740" s="406"/>
      <c r="F740" s="406"/>
      <c r="G740" s="406"/>
      <c r="H740" s="406"/>
      <c r="I740" s="406"/>
      <c r="J740" s="406"/>
      <c r="K740" s="406"/>
      <c r="L740" s="406"/>
      <c r="M740" s="406"/>
      <c r="N740" s="406"/>
      <c r="O740" s="406"/>
      <c r="P740" s="406"/>
      <c r="Q740" s="406"/>
      <c r="R740" s="406"/>
      <c r="S740" s="406"/>
      <c r="T740" s="406"/>
      <c r="U740" s="406"/>
      <c r="V740" s="406"/>
      <c r="W740" s="406"/>
      <c r="X740" s="406"/>
      <c r="Y740" s="406"/>
      <c r="Z740" s="406"/>
      <c r="AA740" s="406"/>
      <c r="AB740" s="406"/>
      <c r="AC740" s="406"/>
      <c r="AD740" s="406"/>
      <c r="AE740" s="406"/>
      <c r="AF740" s="406"/>
      <c r="AG740" s="406"/>
      <c r="AH740" s="406"/>
      <c r="AI740" s="406"/>
      <c r="AJ740" s="406"/>
      <c r="AK740" s="406"/>
      <c r="AL740" s="406"/>
      <c r="AM740" s="406"/>
      <c r="AN740" s="406"/>
      <c r="AO740" s="406"/>
      <c r="AP740" s="406"/>
      <c r="AQ740" s="406"/>
      <c r="AR740" s="406"/>
      <c r="AS740" s="406"/>
      <c r="AT740" s="406"/>
      <c r="AU740" s="406"/>
      <c r="AV740" s="406"/>
      <c r="AW740" s="572"/>
      <c r="AX740" s="406"/>
      <c r="AY740" s="406"/>
      <c r="AZ740" s="406"/>
      <c r="BA740" s="406"/>
      <c r="BB740" s="406"/>
      <c r="BC740" s="406"/>
      <c r="BD740" s="406"/>
      <c r="BE740" s="406"/>
      <c r="BF740" s="406"/>
      <c r="BG740" s="406"/>
      <c r="BH740" s="280"/>
    </row>
    <row r="741" spans="1:60" customFormat="1" x14ac:dyDescent="0.25">
      <c r="A741" s="348" t="s">
        <v>256</v>
      </c>
      <c r="B741" s="562">
        <v>2</v>
      </c>
      <c r="C741" s="406"/>
      <c r="D741" s="460"/>
      <c r="E741" s="406"/>
      <c r="F741" s="406"/>
      <c r="G741" s="406"/>
      <c r="H741" s="406"/>
      <c r="I741" s="406"/>
      <c r="J741" s="406"/>
      <c r="K741" s="406"/>
      <c r="L741" s="406"/>
      <c r="M741" s="406"/>
      <c r="N741" s="406"/>
      <c r="O741" s="406"/>
      <c r="P741" s="406"/>
      <c r="Q741" s="406"/>
      <c r="R741" s="406"/>
      <c r="S741" s="406"/>
      <c r="T741" s="406"/>
      <c r="U741" s="406"/>
      <c r="V741" s="406"/>
      <c r="W741" s="406"/>
      <c r="X741" s="406"/>
      <c r="Y741" s="406"/>
      <c r="Z741" s="406"/>
      <c r="AA741" s="406"/>
      <c r="AB741" s="406"/>
      <c r="AC741" s="406"/>
      <c r="AD741" s="406"/>
      <c r="AE741" s="406"/>
      <c r="AF741" s="406"/>
      <c r="AG741" s="406"/>
      <c r="AH741" s="406"/>
      <c r="AI741" s="406"/>
      <c r="AJ741" s="406"/>
      <c r="AK741" s="406"/>
      <c r="AL741" s="406"/>
      <c r="AM741" s="406"/>
      <c r="AN741" s="406"/>
      <c r="AO741" s="406"/>
      <c r="AP741" s="406"/>
      <c r="AQ741" s="406"/>
      <c r="AR741" s="406"/>
      <c r="AS741" s="406"/>
      <c r="AT741" s="406"/>
      <c r="AU741" s="406"/>
      <c r="AV741" s="406"/>
      <c r="AW741" s="572"/>
      <c r="AX741" s="406"/>
      <c r="AY741" s="406"/>
      <c r="AZ741" s="406"/>
      <c r="BA741" s="406"/>
      <c r="BB741" s="406"/>
      <c r="BC741" s="406"/>
      <c r="BD741" s="406"/>
      <c r="BE741" s="406"/>
      <c r="BF741" s="406"/>
      <c r="BG741" s="406"/>
      <c r="BH741" s="280"/>
    </row>
    <row r="742" spans="1:60" customFormat="1" x14ac:dyDescent="0.25">
      <c r="A742" s="349" t="s">
        <v>129</v>
      </c>
      <c r="B742" s="563">
        <v>3</v>
      </c>
      <c r="C742" s="406"/>
      <c r="D742" s="460"/>
      <c r="E742" s="406"/>
      <c r="F742" s="406"/>
      <c r="G742" s="406"/>
      <c r="H742" s="406"/>
      <c r="I742" s="406"/>
      <c r="J742" s="406"/>
      <c r="K742" s="406"/>
      <c r="L742" s="406"/>
      <c r="M742" s="406"/>
      <c r="N742" s="406"/>
      <c r="O742" s="406"/>
      <c r="P742" s="406"/>
      <c r="Q742" s="406"/>
      <c r="R742" s="406"/>
      <c r="S742" s="406"/>
      <c r="T742" s="406"/>
      <c r="U742" s="406"/>
      <c r="V742" s="406"/>
      <c r="W742" s="406"/>
      <c r="X742" s="406"/>
      <c r="Y742" s="406"/>
      <c r="Z742" s="406"/>
      <c r="AA742" s="406"/>
      <c r="AB742" s="406"/>
      <c r="AC742" s="406"/>
      <c r="AD742" s="406"/>
      <c r="AE742" s="406"/>
      <c r="AF742" s="406"/>
      <c r="AG742" s="406"/>
      <c r="AH742" s="406"/>
      <c r="AI742" s="406"/>
      <c r="AJ742" s="406"/>
      <c r="AK742" s="406"/>
      <c r="AL742" s="406"/>
      <c r="AM742" s="406"/>
      <c r="AN742" s="406"/>
      <c r="AO742" s="406"/>
      <c r="AP742" s="406"/>
      <c r="AQ742" s="406"/>
      <c r="AR742" s="406"/>
      <c r="AS742" s="406"/>
      <c r="AT742" s="406"/>
      <c r="AU742" s="406"/>
      <c r="AV742" s="406"/>
      <c r="AW742" s="572"/>
      <c r="AX742" s="406"/>
      <c r="AY742" s="406"/>
      <c r="AZ742" s="406"/>
      <c r="BA742" s="406"/>
      <c r="BB742" s="406"/>
      <c r="BC742" s="406"/>
      <c r="BD742" s="406"/>
      <c r="BE742" s="406"/>
      <c r="BF742" s="406"/>
      <c r="BG742" s="406"/>
      <c r="BH742" s="280"/>
    </row>
    <row r="743" spans="1:60" customFormat="1" x14ac:dyDescent="0.25">
      <c r="A743" s="539"/>
      <c r="B743" s="540"/>
      <c r="C743" s="460"/>
      <c r="D743" s="460"/>
      <c r="E743" s="406"/>
      <c r="F743" s="406"/>
      <c r="G743" s="406"/>
      <c r="H743" s="406"/>
      <c r="I743" s="406"/>
      <c r="J743" s="406"/>
      <c r="K743" s="406"/>
      <c r="L743" s="406"/>
      <c r="M743" s="406"/>
      <c r="N743" s="406"/>
      <c r="O743" s="406"/>
      <c r="P743" s="406"/>
      <c r="Q743" s="406"/>
      <c r="R743" s="406"/>
      <c r="S743" s="406"/>
      <c r="T743" s="406"/>
      <c r="U743" s="406"/>
      <c r="V743" s="406"/>
      <c r="W743" s="406"/>
      <c r="X743" s="406"/>
      <c r="Y743" s="406"/>
      <c r="Z743" s="406"/>
      <c r="AA743" s="406"/>
      <c r="AB743" s="406"/>
      <c r="AC743" s="406"/>
      <c r="AD743" s="406"/>
      <c r="AE743" s="406"/>
      <c r="AF743" s="406"/>
      <c r="AG743" s="406"/>
      <c r="AH743" s="406"/>
      <c r="AI743" s="406"/>
      <c r="AJ743" s="406"/>
      <c r="AK743" s="406"/>
      <c r="AL743" s="406"/>
      <c r="AM743" s="406"/>
      <c r="AN743" s="406"/>
      <c r="AO743" s="406"/>
      <c r="AP743" s="406"/>
      <c r="AQ743" s="406"/>
      <c r="AR743" s="406"/>
      <c r="AS743" s="406"/>
      <c r="AT743" s="406"/>
      <c r="AU743" s="406"/>
      <c r="AV743" s="406"/>
      <c r="AW743" s="572"/>
      <c r="AX743" s="406"/>
      <c r="AY743" s="406"/>
      <c r="AZ743" s="406"/>
      <c r="BA743" s="406"/>
      <c r="BB743" s="406"/>
      <c r="BC743" s="406"/>
      <c r="BD743" s="406"/>
      <c r="BE743" s="406"/>
      <c r="BF743" s="406"/>
      <c r="BG743" s="406"/>
      <c r="BH743" s="280"/>
    </row>
    <row r="744" spans="1:60" customFormat="1" x14ac:dyDescent="0.25">
      <c r="A744" s="410" t="s">
        <v>510</v>
      </c>
      <c r="B744" s="406"/>
      <c r="C744" s="460"/>
      <c r="D744" s="460"/>
      <c r="E744" s="406"/>
      <c r="F744" s="406"/>
      <c r="G744" s="406"/>
      <c r="H744" s="406"/>
      <c r="I744" s="406"/>
      <c r="J744" s="406"/>
      <c r="K744" s="406"/>
      <c r="L744" s="406"/>
      <c r="M744" s="406"/>
      <c r="N744" s="406"/>
      <c r="O744" s="406"/>
      <c r="P744" s="406"/>
      <c r="Q744" s="406"/>
      <c r="R744" s="406"/>
      <c r="S744" s="406"/>
      <c r="T744" s="406"/>
      <c r="U744" s="406"/>
      <c r="V744" s="406"/>
      <c r="W744" s="406"/>
      <c r="X744" s="406"/>
      <c r="Y744" s="406"/>
      <c r="Z744" s="406"/>
      <c r="AA744" s="406"/>
      <c r="AB744" s="406"/>
      <c r="AC744" s="406"/>
      <c r="AD744" s="406"/>
      <c r="AE744" s="406"/>
      <c r="AF744" s="406"/>
      <c r="AG744" s="406"/>
      <c r="AH744" s="406"/>
      <c r="AI744" s="406"/>
      <c r="AJ744" s="406"/>
      <c r="AK744" s="406"/>
      <c r="AL744" s="406"/>
      <c r="AM744" s="406"/>
      <c r="AN744" s="406"/>
      <c r="AO744" s="406"/>
      <c r="AP744" s="406"/>
      <c r="AQ744" s="406"/>
      <c r="AR744" s="406"/>
      <c r="AS744" s="406"/>
      <c r="AT744" s="406"/>
      <c r="AU744" s="406"/>
      <c r="AV744" s="406"/>
      <c r="AW744" s="572"/>
      <c r="AX744" s="406"/>
      <c r="AY744" s="406"/>
      <c r="AZ744" s="406"/>
      <c r="BA744" s="406"/>
      <c r="BB744" s="406"/>
      <c r="BC744" s="406"/>
      <c r="BD744" s="406"/>
      <c r="BE744" s="406"/>
      <c r="BF744" s="406"/>
      <c r="BG744" s="406"/>
      <c r="BH744" s="280"/>
    </row>
    <row r="745" spans="1:60" customFormat="1" x14ac:dyDescent="0.25">
      <c r="A745" s="411" t="str">
        <f>MO_RIS_REV</f>
        <v>Net Revenue</v>
      </c>
      <c r="B745" s="406"/>
      <c r="C745" s="460"/>
      <c r="D745" s="460"/>
      <c r="E745" s="406"/>
      <c r="F745" s="406"/>
      <c r="G745" s="406"/>
      <c r="H745" s="406"/>
      <c r="I745" s="406"/>
      <c r="J745" s="406"/>
      <c r="K745" s="406"/>
      <c r="L745" s="406"/>
      <c r="M745" s="406"/>
      <c r="N745" s="406"/>
      <c r="O745" s="406"/>
      <c r="P745" s="406"/>
      <c r="Q745" s="406"/>
      <c r="R745" s="406"/>
      <c r="S745" s="406"/>
      <c r="T745" s="406"/>
      <c r="U745" s="406"/>
      <c r="V745" s="406"/>
      <c r="W745" s="406"/>
      <c r="X745" s="406"/>
      <c r="Y745" s="406"/>
      <c r="Z745" s="406"/>
      <c r="AA745" s="406"/>
      <c r="AB745" s="406"/>
      <c r="AC745" s="406"/>
      <c r="AD745" s="406"/>
      <c r="AE745" s="406"/>
      <c r="AF745" s="406"/>
      <c r="AG745" s="406"/>
      <c r="AH745" s="406"/>
      <c r="AI745" s="406"/>
      <c r="AJ745" s="406"/>
      <c r="AK745" s="406"/>
      <c r="AL745" s="406"/>
      <c r="AM745" s="406"/>
      <c r="AN745" s="406"/>
      <c r="AO745" s="406"/>
      <c r="AP745" s="406"/>
      <c r="AQ745" s="406"/>
      <c r="AR745" s="406"/>
      <c r="AS745" s="406"/>
      <c r="AT745" s="406"/>
      <c r="AU745" s="406"/>
      <c r="AV745" s="406"/>
      <c r="AW745" s="572"/>
      <c r="AX745" s="406"/>
      <c r="AY745" s="406"/>
      <c r="AZ745" s="406"/>
      <c r="BA745" s="406"/>
      <c r="BB745" s="406"/>
      <c r="BC745" s="406"/>
      <c r="BD745" s="406"/>
      <c r="BE745" s="406"/>
      <c r="BF745" s="406"/>
      <c r="BG745" s="406"/>
      <c r="BH745" s="280"/>
    </row>
    <row r="746" spans="1:60" customFormat="1" x14ac:dyDescent="0.25">
      <c r="A746" s="411" t="str">
        <f>MO_RIS_EBITDA_Adj</f>
        <v>Adjusted EBITDA (No Adjustments)</v>
      </c>
      <c r="B746" s="406"/>
      <c r="C746" s="460"/>
      <c r="D746" s="460"/>
      <c r="E746" s="406"/>
      <c r="F746" s="406"/>
      <c r="G746" s="406"/>
      <c r="H746" s="406"/>
      <c r="I746" s="406"/>
      <c r="J746" s="406"/>
      <c r="K746" s="406"/>
      <c r="L746" s="406"/>
      <c r="M746" s="406"/>
      <c r="N746" s="406"/>
      <c r="O746" s="406"/>
      <c r="P746" s="406"/>
      <c r="Q746" s="406"/>
      <c r="R746" s="406"/>
      <c r="S746" s="406"/>
      <c r="T746" s="406"/>
      <c r="U746" s="406"/>
      <c r="V746" s="406"/>
      <c r="W746" s="406"/>
      <c r="X746" s="406"/>
      <c r="Y746" s="406"/>
      <c r="Z746" s="406"/>
      <c r="AA746" s="406"/>
      <c r="AB746" s="406"/>
      <c r="AC746" s="406"/>
      <c r="AD746" s="406"/>
      <c r="AE746" s="406"/>
      <c r="AF746" s="406"/>
      <c r="AG746" s="406"/>
      <c r="AH746" s="406"/>
      <c r="AI746" s="406"/>
      <c r="AJ746" s="406"/>
      <c r="AK746" s="406"/>
      <c r="AL746" s="406"/>
      <c r="AM746" s="406"/>
      <c r="AN746" s="406"/>
      <c r="AO746" s="406"/>
      <c r="AP746" s="406"/>
      <c r="AQ746" s="406"/>
      <c r="AR746" s="406"/>
      <c r="AS746" s="406"/>
      <c r="AT746" s="406"/>
      <c r="AU746" s="406"/>
      <c r="AV746" s="406"/>
      <c r="AW746" s="572"/>
      <c r="AX746" s="406"/>
      <c r="AY746" s="406"/>
      <c r="AZ746" s="406"/>
      <c r="BA746" s="406"/>
      <c r="BB746" s="406"/>
      <c r="BC746" s="406"/>
      <c r="BD746" s="406"/>
      <c r="BE746" s="406"/>
      <c r="BF746" s="406"/>
      <c r="BG746" s="406"/>
      <c r="BH746" s="280"/>
    </row>
    <row r="747" spans="1:60" s="57" customFormat="1" x14ac:dyDescent="0.25">
      <c r="A747" s="411" t="str">
        <f>MO_RIS_EBIT_Adj</f>
        <v>Adjusted EBIT (No Adjustments)</v>
      </c>
      <c r="B747" s="406"/>
      <c r="C747" s="460"/>
      <c r="D747" s="460"/>
      <c r="E747" s="406"/>
      <c r="F747" s="406"/>
      <c r="G747" s="406"/>
      <c r="H747" s="406"/>
      <c r="I747" s="406"/>
      <c r="J747" s="406"/>
      <c r="K747" s="406"/>
      <c r="L747" s="406"/>
      <c r="M747" s="406"/>
      <c r="N747" s="406"/>
      <c r="O747" s="406"/>
      <c r="P747" s="406"/>
      <c r="Q747" s="406"/>
      <c r="R747" s="406"/>
      <c r="S747" s="406"/>
      <c r="T747" s="406"/>
      <c r="U747" s="406"/>
      <c r="V747" s="406"/>
      <c r="W747" s="406"/>
      <c r="X747" s="406"/>
      <c r="Y747" s="406"/>
      <c r="Z747" s="406"/>
      <c r="AA747" s="406"/>
      <c r="AB747" s="406"/>
      <c r="AC747" s="406"/>
      <c r="AD747" s="406"/>
      <c r="AE747" s="406"/>
      <c r="AF747" s="406"/>
      <c r="AG747" s="406"/>
      <c r="AH747" s="406"/>
      <c r="AI747" s="406"/>
      <c r="AJ747" s="406"/>
      <c r="AK747" s="406"/>
      <c r="AL747" s="406"/>
      <c r="AM747" s="406"/>
      <c r="AN747" s="406"/>
      <c r="AO747" s="406"/>
      <c r="AP747" s="406"/>
      <c r="AQ747" s="406"/>
      <c r="AR747" s="406"/>
      <c r="AS747" s="406"/>
      <c r="AT747" s="406"/>
      <c r="AU747" s="406"/>
      <c r="AV747" s="406"/>
      <c r="AW747" s="572"/>
      <c r="AX747" s="406"/>
      <c r="AY747" s="406"/>
      <c r="AZ747" s="406"/>
      <c r="BA747" s="406"/>
      <c r="BB747" s="406"/>
      <c r="BC747" s="406"/>
      <c r="BD747" s="406"/>
      <c r="BE747" s="406"/>
      <c r="BF747" s="406"/>
      <c r="BG747" s="406"/>
      <c r="BH747" s="280"/>
    </row>
    <row r="748" spans="1:60" customFormat="1" x14ac:dyDescent="0.25">
      <c r="A748" s="411" t="str">
        <f>MO_RIS_EPS_WAD_Adj</f>
        <v>Adjusted Earnings Per Share - WAD</v>
      </c>
      <c r="B748" s="406"/>
      <c r="C748" s="460"/>
      <c r="D748" s="460"/>
      <c r="E748" s="406"/>
      <c r="F748" s="406"/>
      <c r="G748" s="406"/>
      <c r="H748" s="406"/>
      <c r="I748" s="406"/>
      <c r="J748" s="406"/>
      <c r="K748" s="406"/>
      <c r="L748" s="406"/>
      <c r="M748" s="406"/>
      <c r="N748" s="406"/>
      <c r="O748" s="406"/>
      <c r="P748" s="406"/>
      <c r="Q748" s="406"/>
      <c r="R748" s="406"/>
      <c r="S748" s="406"/>
      <c r="T748" s="406"/>
      <c r="U748" s="406"/>
      <c r="V748" s="406"/>
      <c r="W748" s="406"/>
      <c r="X748" s="406"/>
      <c r="Y748" s="406"/>
      <c r="Z748" s="406"/>
      <c r="AA748" s="406"/>
      <c r="AB748" s="406"/>
      <c r="AC748" s="406"/>
      <c r="AD748" s="406"/>
      <c r="AE748" s="406"/>
      <c r="AF748" s="406"/>
      <c r="AG748" s="406"/>
      <c r="AH748" s="406"/>
      <c r="AI748" s="406"/>
      <c r="AJ748" s="406"/>
      <c r="AK748" s="406"/>
      <c r="AL748" s="406"/>
      <c r="AM748" s="406"/>
      <c r="AN748" s="406"/>
      <c r="AO748" s="406"/>
      <c r="AP748" s="406"/>
      <c r="AQ748" s="406"/>
      <c r="AR748" s="406"/>
      <c r="AS748" s="406"/>
      <c r="AT748" s="406"/>
      <c r="AU748" s="406"/>
      <c r="AV748" s="406"/>
      <c r="AW748" s="572"/>
      <c r="AX748" s="406"/>
      <c r="AY748" s="406"/>
      <c r="AZ748" s="406"/>
      <c r="BA748" s="406"/>
      <c r="BB748" s="406"/>
      <c r="BC748" s="406"/>
      <c r="BD748" s="406"/>
      <c r="BE748" s="406"/>
      <c r="BF748" s="406"/>
      <c r="BG748" s="406"/>
      <c r="BH748" s="280"/>
    </row>
    <row r="749" spans="1:60" customFormat="1" x14ac:dyDescent="0.25">
      <c r="A749" s="411" t="str">
        <f>MO_VA_EV_ToEBITDA</f>
        <v>EV/EBITDA - Avg</v>
      </c>
      <c r="B749" s="406"/>
      <c r="C749" s="460"/>
      <c r="D749" s="460"/>
      <c r="E749" s="406"/>
      <c r="F749" s="406"/>
      <c r="G749" s="406"/>
      <c r="H749" s="406"/>
      <c r="I749" s="406"/>
      <c r="J749" s="406"/>
      <c r="K749" s="406"/>
      <c r="L749" s="406"/>
      <c r="M749" s="406"/>
      <c r="N749" s="406"/>
      <c r="O749" s="406"/>
      <c r="P749" s="406"/>
      <c r="Q749" s="406"/>
      <c r="R749" s="406"/>
      <c r="S749" s="406"/>
      <c r="T749" s="406"/>
      <c r="U749" s="406"/>
      <c r="V749" s="406"/>
      <c r="W749" s="406"/>
      <c r="X749" s="406"/>
      <c r="Y749" s="406"/>
      <c r="Z749" s="406"/>
      <c r="AA749" s="406"/>
      <c r="AB749" s="406"/>
      <c r="AC749" s="406"/>
      <c r="AD749" s="406"/>
      <c r="AE749" s="406"/>
      <c r="AF749" s="406"/>
      <c r="AG749" s="406"/>
      <c r="AH749" s="406"/>
      <c r="AI749" s="406"/>
      <c r="AJ749" s="406"/>
      <c r="AK749" s="406"/>
      <c r="AL749" s="406"/>
      <c r="AM749" s="406"/>
      <c r="AN749" s="406"/>
      <c r="AO749" s="406"/>
      <c r="AP749" s="406"/>
      <c r="AQ749" s="406"/>
      <c r="AR749" s="406"/>
      <c r="AS749" s="406"/>
      <c r="AT749" s="406"/>
      <c r="AU749" s="406"/>
      <c r="AV749" s="406"/>
      <c r="AW749" s="572"/>
      <c r="AX749" s="406"/>
      <c r="AY749" s="406"/>
      <c r="AZ749" s="406"/>
      <c r="BA749" s="406"/>
      <c r="BB749" s="406"/>
      <c r="BC749" s="406"/>
      <c r="BD749" s="406"/>
      <c r="BE749" s="406"/>
      <c r="BF749" s="406"/>
      <c r="BG749" s="406"/>
      <c r="BH749" s="280"/>
    </row>
    <row r="750" spans="1:60" customFormat="1" x14ac:dyDescent="0.25">
      <c r="A750" s="411" t="str">
        <f>MO_VA_P_ToE</f>
        <v>P/E - Avg</v>
      </c>
      <c r="B750" s="406"/>
      <c r="C750" s="460"/>
      <c r="D750" s="460"/>
      <c r="E750" s="406"/>
      <c r="F750" s="406"/>
      <c r="G750" s="406"/>
      <c r="H750" s="406"/>
      <c r="I750" s="406"/>
      <c r="J750" s="406"/>
      <c r="K750" s="406"/>
      <c r="L750" s="406"/>
      <c r="M750" s="406"/>
      <c r="N750" s="406"/>
      <c r="O750" s="406"/>
      <c r="P750" s="406"/>
      <c r="Q750" s="406"/>
      <c r="R750" s="406"/>
      <c r="S750" s="406"/>
      <c r="T750" s="406"/>
      <c r="U750" s="406"/>
      <c r="V750" s="406"/>
      <c r="W750" s="406"/>
      <c r="X750" s="406"/>
      <c r="Y750" s="406"/>
      <c r="Z750" s="406"/>
      <c r="AA750" s="406"/>
      <c r="AB750" s="406"/>
      <c r="AC750" s="406"/>
      <c r="AD750" s="406"/>
      <c r="AE750" s="406"/>
      <c r="AF750" s="406"/>
      <c r="AG750" s="406"/>
      <c r="AH750" s="406"/>
      <c r="AI750" s="406"/>
      <c r="AJ750" s="406"/>
      <c r="AK750" s="406"/>
      <c r="AL750" s="406"/>
      <c r="AM750" s="406"/>
      <c r="AN750" s="406"/>
      <c r="AO750" s="406"/>
      <c r="AP750" s="406"/>
      <c r="AQ750" s="406"/>
      <c r="AR750" s="406"/>
      <c r="AS750" s="406"/>
      <c r="AT750" s="406"/>
      <c r="AU750" s="406"/>
      <c r="AV750" s="406"/>
      <c r="AW750" s="572"/>
      <c r="AX750" s="406"/>
      <c r="AY750" s="406"/>
      <c r="AZ750" s="406"/>
      <c r="BA750" s="406"/>
      <c r="BB750" s="406"/>
      <c r="BC750" s="406"/>
      <c r="BD750" s="406"/>
      <c r="BE750" s="406"/>
      <c r="BF750" s="406"/>
      <c r="BG750" s="406"/>
      <c r="BH750" s="280"/>
    </row>
    <row r="751" spans="1:60" customFormat="1" x14ac:dyDescent="0.25">
      <c r="A751" s="541"/>
      <c r="B751" s="406"/>
      <c r="C751" s="460"/>
      <c r="D751" s="460"/>
      <c r="E751" s="406"/>
      <c r="F751" s="406"/>
      <c r="G751" s="406"/>
      <c r="H751" s="406"/>
      <c r="I751" s="406"/>
      <c r="J751" s="406"/>
      <c r="K751" s="406"/>
      <c r="L751" s="406"/>
      <c r="M751" s="406"/>
      <c r="N751" s="406"/>
      <c r="O751" s="406"/>
      <c r="P751" s="406"/>
      <c r="Q751" s="406"/>
      <c r="R751" s="406"/>
      <c r="S751" s="406"/>
      <c r="T751" s="406"/>
      <c r="U751" s="406"/>
      <c r="V751" s="406"/>
      <c r="W751" s="406"/>
      <c r="X751" s="406"/>
      <c r="Y751" s="406"/>
      <c r="Z751" s="406"/>
      <c r="AA751" s="406"/>
      <c r="AB751" s="406"/>
      <c r="AC751" s="406"/>
      <c r="AD751" s="406"/>
      <c r="AE751" s="406"/>
      <c r="AF751" s="406"/>
      <c r="AG751" s="406"/>
      <c r="AH751" s="406"/>
      <c r="AI751" s="406"/>
      <c r="AJ751" s="406"/>
      <c r="AK751" s="406"/>
      <c r="AL751" s="406"/>
      <c r="AM751" s="406"/>
      <c r="AN751" s="406"/>
      <c r="AO751" s="406"/>
      <c r="AP751" s="406"/>
      <c r="AQ751" s="406"/>
      <c r="AR751" s="406"/>
      <c r="AS751" s="406"/>
      <c r="AT751" s="406"/>
      <c r="AU751" s="406"/>
      <c r="AV751" s="406"/>
      <c r="AW751" s="572"/>
      <c r="AX751" s="406"/>
      <c r="AY751" s="406"/>
      <c r="AZ751" s="406"/>
      <c r="BA751" s="406"/>
      <c r="BB751" s="406"/>
      <c r="BC751" s="406"/>
      <c r="BD751" s="406"/>
      <c r="BE751" s="406"/>
      <c r="BF751" s="406"/>
      <c r="BG751" s="406"/>
      <c r="BH751" s="280"/>
    </row>
    <row r="752" spans="1:60" customFormat="1" x14ac:dyDescent="0.25">
      <c r="A752" s="533"/>
      <c r="B752" s="537"/>
      <c r="C752" s="542"/>
      <c r="D752" s="542"/>
      <c r="E752" s="537"/>
      <c r="F752" s="537"/>
      <c r="G752" s="537"/>
      <c r="H752" s="537"/>
      <c r="I752" s="537"/>
      <c r="J752" s="537"/>
      <c r="K752" s="537"/>
      <c r="L752" s="537"/>
      <c r="M752" s="537"/>
      <c r="N752" s="537"/>
      <c r="O752" s="537"/>
      <c r="P752" s="537"/>
      <c r="Q752" s="537"/>
      <c r="R752" s="537"/>
      <c r="S752" s="537"/>
      <c r="T752" s="537"/>
      <c r="U752" s="537"/>
      <c r="V752" s="537"/>
      <c r="W752" s="537"/>
      <c r="X752" s="537"/>
      <c r="Y752" s="537"/>
      <c r="Z752" s="537"/>
      <c r="AA752" s="537"/>
      <c r="AB752" s="537"/>
      <c r="AC752" s="537"/>
      <c r="AD752" s="537"/>
      <c r="AE752" s="537"/>
      <c r="AF752" s="537"/>
      <c r="AG752" s="537"/>
      <c r="AH752" s="537"/>
      <c r="AI752" s="537"/>
      <c r="AJ752" s="537"/>
      <c r="AK752" s="537"/>
      <c r="AL752" s="537"/>
      <c r="AM752" s="537"/>
      <c r="AN752" s="537"/>
      <c r="AO752" s="537"/>
      <c r="AP752" s="537"/>
      <c r="AQ752" s="537"/>
      <c r="AR752" s="537"/>
      <c r="AS752" s="537"/>
      <c r="AT752" s="537"/>
      <c r="AU752" s="537"/>
      <c r="AV752" s="537"/>
      <c r="AW752" s="600"/>
      <c r="AX752" s="537"/>
      <c r="AY752" s="537"/>
      <c r="AZ752" s="537"/>
      <c r="BA752" s="537"/>
      <c r="BB752" s="537"/>
      <c r="BC752" s="537"/>
      <c r="BD752" s="537"/>
      <c r="BE752" s="537"/>
      <c r="BF752" s="537"/>
      <c r="BG752" s="537"/>
      <c r="BH752" s="280"/>
    </row>
    <row r="753" spans="1:60" customFormat="1" x14ac:dyDescent="0.25">
      <c r="A753" s="944" t="s">
        <v>257</v>
      </c>
      <c r="B753" s="870"/>
      <c r="C753" s="870"/>
      <c r="D753" s="870"/>
      <c r="E753" s="870"/>
      <c r="F753" s="870"/>
      <c r="G753" s="870"/>
      <c r="H753" s="870"/>
      <c r="I753" s="870"/>
      <c r="J753" s="870"/>
      <c r="K753" s="870"/>
      <c r="L753" s="870"/>
      <c r="M753" s="870"/>
      <c r="N753" s="870"/>
      <c r="O753" s="870"/>
      <c r="P753" s="870"/>
      <c r="Q753" s="870"/>
      <c r="R753" s="870"/>
      <c r="S753" s="870"/>
      <c r="T753" s="870"/>
      <c r="U753" s="870"/>
      <c r="V753" s="870"/>
      <c r="W753" s="870"/>
      <c r="X753" s="870"/>
      <c r="Y753" s="870"/>
      <c r="Z753" s="870"/>
      <c r="AA753" s="870"/>
      <c r="AB753" s="870"/>
      <c r="AC753" s="870"/>
      <c r="AD753" s="870"/>
      <c r="AE753" s="870"/>
      <c r="AF753" s="870"/>
      <c r="AG753" s="870"/>
      <c r="AH753" s="870"/>
      <c r="AI753" s="870"/>
      <c r="AJ753" s="870"/>
      <c r="AK753" s="870"/>
      <c r="AL753" s="870"/>
      <c r="AM753" s="870"/>
      <c r="AN753" s="870"/>
      <c r="AO753" s="870"/>
      <c r="AP753" s="870"/>
      <c r="AQ753" s="870"/>
      <c r="AR753" s="870"/>
      <c r="AS753" s="870"/>
      <c r="AT753" s="870"/>
      <c r="AU753" s="870"/>
      <c r="AV753" s="870"/>
      <c r="AW753" s="887"/>
      <c r="AX753" s="870" t="str">
        <f t="shared" ref="AX753:BG753" si="750">AX5</f>
        <v>Q4-2021</v>
      </c>
      <c r="AY753" s="870" t="str">
        <f t="shared" si="750"/>
        <v>FY2021</v>
      </c>
      <c r="AZ753" s="870" t="str">
        <f t="shared" si="750"/>
        <v>Q1-2022</v>
      </c>
      <c r="BA753" s="870" t="str">
        <f t="shared" si="750"/>
        <v>Q2-2022</v>
      </c>
      <c r="BB753" s="870" t="str">
        <f t="shared" si="750"/>
        <v>Q3-2022</v>
      </c>
      <c r="BC753" s="870" t="str">
        <f t="shared" si="750"/>
        <v>Q4-2022</v>
      </c>
      <c r="BD753" s="870" t="str">
        <f t="shared" si="750"/>
        <v>FY2022</v>
      </c>
      <c r="BE753" s="870" t="str">
        <f t="shared" si="750"/>
        <v>FY2023</v>
      </c>
      <c r="BF753" s="870" t="str">
        <f t="shared" si="750"/>
        <v>FY2024</v>
      </c>
      <c r="BG753" s="945" t="str">
        <f t="shared" si="750"/>
        <v>FY2025</v>
      </c>
      <c r="BH753" s="824"/>
    </row>
    <row r="754" spans="1:60" customFormat="1" x14ac:dyDescent="0.25">
      <c r="A754" s="946" t="s">
        <v>258</v>
      </c>
      <c r="B754" s="879"/>
      <c r="C754" s="879"/>
      <c r="D754" s="879"/>
      <c r="E754" s="879"/>
      <c r="F754" s="879"/>
      <c r="G754" s="879"/>
      <c r="H754" s="879"/>
      <c r="I754" s="879"/>
      <c r="J754" s="879"/>
      <c r="K754" s="879"/>
      <c r="L754" s="879"/>
      <c r="M754" s="879"/>
      <c r="N754" s="879"/>
      <c r="O754" s="879"/>
      <c r="P754" s="879"/>
      <c r="Q754" s="879"/>
      <c r="R754" s="879"/>
      <c r="S754" s="879"/>
      <c r="T754" s="879"/>
      <c r="U754" s="879"/>
      <c r="V754" s="879"/>
      <c r="W754" s="879"/>
      <c r="X754" s="879"/>
      <c r="Y754" s="879"/>
      <c r="Z754" s="879"/>
      <c r="AA754" s="879"/>
      <c r="AB754" s="879"/>
      <c r="AC754" s="879"/>
      <c r="AD754" s="879"/>
      <c r="AE754" s="879"/>
      <c r="AF754" s="879"/>
      <c r="AG754" s="879"/>
      <c r="AH754" s="879"/>
      <c r="AI754" s="879"/>
      <c r="AJ754" s="879"/>
      <c r="AK754" s="879"/>
      <c r="AL754" s="879"/>
      <c r="AM754" s="879"/>
      <c r="AN754" s="879"/>
      <c r="AO754" s="879"/>
      <c r="AP754" s="879"/>
      <c r="AQ754" s="879"/>
      <c r="AR754" s="879"/>
      <c r="AS754" s="879"/>
      <c r="AT754" s="879"/>
      <c r="AU754" s="879"/>
      <c r="AV754" s="879"/>
      <c r="AW754" s="880"/>
      <c r="AX754" s="879" t="str">
        <f>IF(MO.DataSourceIndex=3,IF(LEFT(AX753,2)="FY","ANNUAL",IF(LEFT(AX753,1)="Q","QUARTERLY","")),IF(LEFT(AX753,2)="FY","FY",IF(LEFT(AX753,1)="Q","FQ","")))</f>
        <v>FQ</v>
      </c>
      <c r="AY754" s="879" t="str">
        <f>IF(MO.DataSourceIndex=3,IF(LEFT(AY753,2)="FY","ANNUAL",IF(LEFT(AY753,1)="Q","QUARTERLY","")),IF(LEFT(AY753,2)="FY","FY",IF(LEFT(AY753,1)="Q","FQ","")))</f>
        <v>FY</v>
      </c>
      <c r="AZ754" s="879" t="str">
        <f t="shared" ref="AZ754:BG754" si="751">IF(MO.DataSourceIndex=3,IF(LEFT(AZ753,2)="FY","ANNUAL",IF(LEFT(AZ753,1)="Q","QUARTERLY","")),IF(LEFT(AZ753,2)="FY","FY",IF(LEFT(AZ753,1)="Q","FQ","")))</f>
        <v>FQ</v>
      </c>
      <c r="BA754" s="879" t="str">
        <f t="shared" si="751"/>
        <v>FQ</v>
      </c>
      <c r="BB754" s="879" t="str">
        <f t="shared" si="751"/>
        <v>FQ</v>
      </c>
      <c r="BC754" s="879" t="str">
        <f t="shared" si="751"/>
        <v>FQ</v>
      </c>
      <c r="BD754" s="879" t="str">
        <f t="shared" si="751"/>
        <v>FY</v>
      </c>
      <c r="BE754" s="879" t="str">
        <f t="shared" si="751"/>
        <v>FY</v>
      </c>
      <c r="BF754" s="879" t="str">
        <f t="shared" si="751"/>
        <v>FY</v>
      </c>
      <c r="BG754" s="947" t="str">
        <f t="shared" si="751"/>
        <v>FY</v>
      </c>
      <c r="BH754" s="824"/>
    </row>
    <row r="755" spans="1:60" customFormat="1" x14ac:dyDescent="0.25">
      <c r="A755" s="946" t="s">
        <v>259</v>
      </c>
      <c r="B755" s="879"/>
      <c r="C755" s="879"/>
      <c r="D755" s="879"/>
      <c r="E755" s="879"/>
      <c r="F755" s="879"/>
      <c r="G755" s="879"/>
      <c r="H755" s="879"/>
      <c r="I755" s="879"/>
      <c r="J755" s="879"/>
      <c r="K755" s="879"/>
      <c r="L755" s="879"/>
      <c r="M755" s="879"/>
      <c r="N755" s="879"/>
      <c r="O755" s="879"/>
      <c r="P755" s="879"/>
      <c r="Q755" s="879"/>
      <c r="R755" s="879"/>
      <c r="S755" s="879"/>
      <c r="T755" s="879"/>
      <c r="U755" s="879"/>
      <c r="V755" s="879"/>
      <c r="W755" s="879"/>
      <c r="X755" s="879"/>
      <c r="Y755" s="879"/>
      <c r="Z755" s="879"/>
      <c r="AA755" s="879"/>
      <c r="AB755" s="879"/>
      <c r="AC755" s="879"/>
      <c r="AD755" s="879"/>
      <c r="AE755" s="879"/>
      <c r="AF755" s="879"/>
      <c r="AG755" s="879"/>
      <c r="AH755" s="879"/>
      <c r="AI755" s="879"/>
      <c r="AJ755" s="879"/>
      <c r="AK755" s="879"/>
      <c r="AL755" s="879"/>
      <c r="AM755" s="879"/>
      <c r="AN755" s="879"/>
      <c r="AO755" s="879"/>
      <c r="AP755" s="879"/>
      <c r="AQ755" s="879"/>
      <c r="AR755" s="879"/>
      <c r="AS755" s="879"/>
      <c r="AT755" s="879"/>
      <c r="AU755" s="879"/>
      <c r="AV755" s="879"/>
      <c r="AW755" s="880"/>
      <c r="AX755" s="879">
        <f t="shared" ref="AX755:BG755" ca="1" si="752">IF(MO.DataSourceIndex=3,IF(INDEX(MO_SNA_ConsensusEstimatePeriodType,,COLUMN())="ANNUAL",COUNTIF(OFFSET(INDEX(MO_SNA_ConsensusEstimatePeriodType,,1),,,,COLUMN()),"ANNUAL"),IF(INDEX(MO_SNA_ConsensusEstimatePeriodType,,COLUMN())="QUARTERLY",COUNTIF(OFFSET(INDEX(MO_SNA_ConsensusEstimatePeriodType,,1),,,,COLUMN()),"QUARTERLY"),"")),IF(INDEX(MO_SNA_ConsensusEstimatePeriodType,,COLUMN())="FY",COUNTIF(OFFSET(INDEX(MO_SNA_ConsensusEstimatePeriodType,,1),,,,COLUMN()),"FY"),IF(INDEX(MO_SNA_ConsensusEstimatePeriodType,,COLUMN())="FQ",COUNTIF(OFFSET(INDEX(MO_SNA_ConsensusEstimatePeriodType,,1),,,,COLUMN()),"FQ"),"")))</f>
        <v>1</v>
      </c>
      <c r="AY755" s="879">
        <f t="shared" ca="1" si="752"/>
        <v>1</v>
      </c>
      <c r="AZ755" s="879">
        <f t="shared" ca="1" si="752"/>
        <v>2</v>
      </c>
      <c r="BA755" s="879">
        <f t="shared" ca="1" si="752"/>
        <v>3</v>
      </c>
      <c r="BB755" s="879">
        <f t="shared" ca="1" si="752"/>
        <v>4</v>
      </c>
      <c r="BC755" s="879">
        <f t="shared" ca="1" si="752"/>
        <v>5</v>
      </c>
      <c r="BD755" s="879">
        <f t="shared" ca="1" si="752"/>
        <v>2</v>
      </c>
      <c r="BE755" s="879">
        <f t="shared" ca="1" si="752"/>
        <v>3</v>
      </c>
      <c r="BF755" s="879">
        <f t="shared" ca="1" si="752"/>
        <v>4</v>
      </c>
      <c r="BG755" s="947">
        <f t="shared" ca="1" si="752"/>
        <v>5</v>
      </c>
      <c r="BH755" s="824"/>
    </row>
    <row r="756" spans="1:60" customFormat="1" x14ac:dyDescent="0.25">
      <c r="A756" s="348" t="str">
        <f>$A$315</f>
        <v>Consensus Estimates - Gross Margin, %</v>
      </c>
      <c r="B756" s="822"/>
      <c r="C756" s="167"/>
      <c r="D756" s="167"/>
      <c r="E756" s="167"/>
      <c r="F756" s="167"/>
      <c r="G756" s="167"/>
      <c r="H756" s="168"/>
      <c r="I756" s="168"/>
      <c r="J756" s="168"/>
      <c r="K756" s="168"/>
      <c r="L756" s="168"/>
      <c r="M756" s="168"/>
      <c r="N756" s="168"/>
      <c r="O756" s="168"/>
      <c r="P756" s="825"/>
      <c r="Q756" s="825"/>
      <c r="R756" s="825"/>
      <c r="S756" s="825"/>
      <c r="T756" s="825"/>
      <c r="U756" s="825"/>
      <c r="V756" s="825"/>
      <c r="W756" s="825"/>
      <c r="X756" s="825"/>
      <c r="Y756" s="825"/>
      <c r="Z756" s="825"/>
      <c r="AA756" s="825"/>
      <c r="AB756" s="825"/>
      <c r="AC756" s="825"/>
      <c r="AD756" s="825"/>
      <c r="AE756" s="825"/>
      <c r="AF756" s="825"/>
      <c r="AG756" s="825"/>
      <c r="AH756" s="825"/>
      <c r="AI756" s="825"/>
      <c r="AJ756" s="825"/>
      <c r="AK756" s="825"/>
      <c r="AL756" s="825"/>
      <c r="AM756" s="825"/>
      <c r="AN756" s="825"/>
      <c r="AO756" s="825"/>
      <c r="AP756" s="825"/>
      <c r="AQ756" s="825"/>
      <c r="AR756" s="825"/>
      <c r="AS756" s="825"/>
      <c r="AT756" s="825"/>
      <c r="AU756" s="825"/>
      <c r="AV756" s="825"/>
      <c r="AW756" s="826"/>
      <c r="AX756" s="168"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AY756" s="168"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AZ756" s="168"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A756" s="168"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B756" s="168"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C756" s="168"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D756" s="168"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E756" s="168"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F756" s="168"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G756" s="345"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H756" s="824"/>
    </row>
    <row r="757" spans="1:60" customFormat="1" x14ac:dyDescent="0.25">
      <c r="A757" s="348" t="str">
        <f>$A$380</f>
        <v>Consensus Estimates - Net Revenue</v>
      </c>
      <c r="B757" s="822"/>
      <c r="C757" s="169"/>
      <c r="D757" s="169"/>
      <c r="E757" s="169"/>
      <c r="F757" s="169"/>
      <c r="G757" s="169"/>
      <c r="H757" s="822"/>
      <c r="I757" s="822"/>
      <c r="J757" s="822"/>
      <c r="K757" s="822"/>
      <c r="L757" s="822"/>
      <c r="M757" s="822"/>
      <c r="N757" s="822"/>
      <c r="O757" s="822"/>
      <c r="P757" s="822"/>
      <c r="Q757" s="822"/>
      <c r="R757" s="822"/>
      <c r="S757" s="822"/>
      <c r="T757" s="822"/>
      <c r="U757" s="822"/>
      <c r="V757" s="822"/>
      <c r="W757" s="822"/>
      <c r="X757" s="822"/>
      <c r="Y757" s="822"/>
      <c r="Z757" s="822"/>
      <c r="AA757" s="822"/>
      <c r="AB757" s="822"/>
      <c r="AC757" s="822"/>
      <c r="AD757" s="822"/>
      <c r="AE757" s="822"/>
      <c r="AF757" s="822"/>
      <c r="AG757" s="822"/>
      <c r="AH757" s="822"/>
      <c r="AI757" s="822"/>
      <c r="AJ757" s="822"/>
      <c r="AK757" s="822"/>
      <c r="AL757" s="822"/>
      <c r="AM757" s="822"/>
      <c r="AN757" s="822"/>
      <c r="AO757" s="822"/>
      <c r="AP757" s="822"/>
      <c r="AQ757" s="822"/>
      <c r="AR757" s="822"/>
      <c r="AS757" s="822"/>
      <c r="AT757" s="822"/>
      <c r="AU757" s="822"/>
      <c r="AV757" s="822"/>
      <c r="AW757" s="823"/>
      <c r="AX757" s="822"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AY757" s="822"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AZ757" s="822"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A757" s="822"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B757" s="822"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C757" s="822"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D757" s="822"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E757" s="822"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F757" s="822"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G757" s="346"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H757" s="821"/>
    </row>
    <row r="758" spans="1:60" customFormat="1" x14ac:dyDescent="0.25">
      <c r="A758" s="348" t="str">
        <f>$A$396</f>
        <v xml:space="preserve">Consensus Estimates - Adjusted EBITDA </v>
      </c>
      <c r="B758" s="822"/>
      <c r="C758" s="169"/>
      <c r="D758" s="169"/>
      <c r="E758" s="169"/>
      <c r="F758" s="169"/>
      <c r="G758" s="169"/>
      <c r="H758" s="822"/>
      <c r="I758" s="822"/>
      <c r="J758" s="822"/>
      <c r="K758" s="822"/>
      <c r="L758" s="822"/>
      <c r="M758" s="822"/>
      <c r="N758" s="822"/>
      <c r="O758" s="822"/>
      <c r="P758" s="822"/>
      <c r="Q758" s="822"/>
      <c r="R758" s="822"/>
      <c r="S758" s="822"/>
      <c r="T758" s="822"/>
      <c r="U758" s="822"/>
      <c r="V758" s="822"/>
      <c r="W758" s="822"/>
      <c r="X758" s="822"/>
      <c r="Y758" s="822"/>
      <c r="Z758" s="822"/>
      <c r="AA758" s="822"/>
      <c r="AB758" s="822"/>
      <c r="AC758" s="822"/>
      <c r="AD758" s="822"/>
      <c r="AE758" s="822"/>
      <c r="AF758" s="822"/>
      <c r="AG758" s="822"/>
      <c r="AH758" s="822"/>
      <c r="AI758" s="822"/>
      <c r="AJ758" s="822"/>
      <c r="AK758" s="822"/>
      <c r="AL758" s="822"/>
      <c r="AM758" s="822"/>
      <c r="AN758" s="822"/>
      <c r="AO758" s="822"/>
      <c r="AP758" s="822"/>
      <c r="AQ758" s="822"/>
      <c r="AR758" s="822"/>
      <c r="AS758" s="822"/>
      <c r="AT758" s="822"/>
      <c r="AU758" s="822"/>
      <c r="AV758" s="822"/>
      <c r="AW758" s="823"/>
      <c r="AX758" s="822"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AY758" s="822"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AZ758" s="822"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A758" s="822"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B758" s="822"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C758" s="822"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D758" s="822"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E758" s="822"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F758" s="822"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G758" s="346"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H758" s="821"/>
    </row>
    <row r="759" spans="1:60" s="57" customFormat="1" x14ac:dyDescent="0.25">
      <c r="A759" s="348" t="str">
        <f>$A$390</f>
        <v>Consensus Estimates - Adjusted EBIT</v>
      </c>
      <c r="B759" s="822"/>
      <c r="C759" s="169"/>
      <c r="D759" s="169"/>
      <c r="E759" s="169"/>
      <c r="F759" s="169"/>
      <c r="G759" s="169"/>
      <c r="H759" s="822"/>
      <c r="I759" s="822"/>
      <c r="J759" s="822"/>
      <c r="K759" s="822"/>
      <c r="L759" s="822"/>
      <c r="M759" s="822"/>
      <c r="N759" s="822"/>
      <c r="O759" s="822"/>
      <c r="P759" s="822"/>
      <c r="Q759" s="822"/>
      <c r="R759" s="822"/>
      <c r="S759" s="822"/>
      <c r="T759" s="822"/>
      <c r="U759" s="822"/>
      <c r="V759" s="822"/>
      <c r="W759" s="822"/>
      <c r="X759" s="822"/>
      <c r="Y759" s="822"/>
      <c r="Z759" s="822"/>
      <c r="AA759" s="822"/>
      <c r="AB759" s="822"/>
      <c r="AC759" s="822"/>
      <c r="AD759" s="822"/>
      <c r="AE759" s="822"/>
      <c r="AF759" s="822"/>
      <c r="AG759" s="822"/>
      <c r="AH759" s="822"/>
      <c r="AI759" s="822"/>
      <c r="AJ759" s="822"/>
      <c r="AK759" s="822"/>
      <c r="AL759" s="822"/>
      <c r="AM759" s="822"/>
      <c r="AN759" s="822"/>
      <c r="AO759" s="822"/>
      <c r="AP759" s="822"/>
      <c r="AQ759" s="822"/>
      <c r="AR759" s="822"/>
      <c r="AS759" s="822"/>
      <c r="AT759" s="822"/>
      <c r="AU759" s="822"/>
      <c r="AV759" s="822"/>
      <c r="AW759" s="823"/>
      <c r="AX759" s="822" t="str">
        <f ca="1">IFERROR(CHOOSE(MO.DataSourceIndex,BDP(MO.Ticker.Bloomberg&amp;" EQUITY","BEST_EBIT","BEST_FPERIOD_OVERRIDE="&amp;INDEX(tb_ConsensusEstimate,3,COLUMN())&amp;INDEX(tb_ConsensusEstimate,2,COLUMN())),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AY759" s="822" t="str">
        <f ca="1">IFERROR(CHOOSE(MO.DataSourceIndex,BDP(MO.Ticker.Bloomberg&amp;" EQUITY","BEST_EBIT","BEST_FPERIOD_OVERRIDE="&amp;INDEX(tb_ConsensusEstimate,3,COLUMN())&amp;INDEX(tb_ConsensusEstimate,2,COLUMN())),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AZ759" s="822" t="str">
        <f ca="1">IFERROR(CHOOSE(MO.DataSourceIndex,BDP(MO.Ticker.Bloomberg&amp;" EQUITY","BEST_EBIT","BEST_FPERIOD_OVERRIDE="&amp;INDEX(tb_ConsensusEstimate,3,COLUMN())&amp;INDEX(tb_ConsensusEstimate,2,COLUMN())),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BA759" s="822" t="str">
        <f ca="1">IFERROR(CHOOSE(MO.DataSourceIndex,BDP(MO.Ticker.Bloomberg&amp;" EQUITY","BEST_EBIT","BEST_FPERIOD_OVERRIDE="&amp;INDEX(tb_ConsensusEstimate,3,COLUMN())&amp;INDEX(tb_ConsensusEstimate,2,COLUMN())),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BB759" s="822" t="str">
        <f ca="1">IFERROR(CHOOSE(MO.DataSourceIndex,BDP(MO.Ticker.Bloomberg&amp;" EQUITY","BEST_EBIT","BEST_FPERIOD_OVERRIDE="&amp;INDEX(tb_ConsensusEstimate,3,COLUMN())&amp;INDEX(tb_ConsensusEstimate,2,COLUMN())),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BC759" s="822" t="str">
        <f ca="1">IFERROR(CHOOSE(MO.DataSourceIndex,BDP(MO.Ticker.Bloomberg&amp;" EQUITY","BEST_EBIT","BEST_FPERIOD_OVERRIDE="&amp;INDEX(tb_ConsensusEstimate,3,COLUMN())&amp;INDEX(tb_ConsensusEstimate,2,COLUMN())),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BD759" s="822" t="str">
        <f ca="1">IFERROR(CHOOSE(MO.DataSourceIndex,BDP(MO.Ticker.Bloomberg&amp;" EQUITY","BEST_EBIT","BEST_FPERIOD_OVERRIDE="&amp;INDEX(tb_ConsensusEstimate,3,COLUMN())&amp;INDEX(tb_ConsensusEstimate,2,COLUMN())),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BE759" s="822" t="str">
        <f ca="1">IFERROR(CHOOSE(MO.DataSourceIndex,BDP(MO.Ticker.Bloomberg&amp;" EQUITY","BEST_EBIT","BEST_FPERIOD_OVERRIDE="&amp;INDEX(tb_ConsensusEstimate,3,COLUMN())&amp;INDEX(tb_ConsensusEstimate,2,COLUMN())),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BF759" s="822" t="str">
        <f ca="1">IFERROR(CHOOSE(MO.DataSourceIndex,BDP(MO.Ticker.Bloomberg&amp;" EQUITY","BEST_EBIT","BEST_FPERIOD_OVERRIDE="&amp;INDEX(tb_ConsensusEstimate,3,COLUMN())&amp;INDEX(tb_ConsensusEstimate,2,COLUMN())),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BG759" s="346" t="str">
        <f ca="1">IFERROR(CHOOSE(MO.DataSourceIndex,BDP(MO.Ticker.Bloomberg&amp;" EQUITY","BEST_EBIT","BEST_FPERIOD_OVERRIDE="&amp;INDEX(tb_ConsensusEstimate,3,COLUMN())&amp;INDEX(tb_ConsensusEstimate,2,COLUMN())),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BH759" s="821"/>
    </row>
    <row r="760" spans="1:60" customFormat="1" x14ac:dyDescent="0.25">
      <c r="A760" s="348" t="str">
        <f>$A$423</f>
        <v>Consensus Estimates - Adjusted Earnings Per Share - WAD</v>
      </c>
      <c r="B760" s="822"/>
      <c r="C760" s="170"/>
      <c r="D760" s="170"/>
      <c r="E760" s="170"/>
      <c r="F760" s="170"/>
      <c r="G760" s="170"/>
      <c r="H760" s="822"/>
      <c r="I760" s="822"/>
      <c r="J760" s="822"/>
      <c r="K760" s="822"/>
      <c r="L760" s="822"/>
      <c r="M760" s="822"/>
      <c r="N760" s="822"/>
      <c r="O760" s="822"/>
      <c r="P760" s="822"/>
      <c r="Q760" s="822"/>
      <c r="R760" s="822"/>
      <c r="S760" s="822"/>
      <c r="T760" s="822"/>
      <c r="U760" s="822"/>
      <c r="V760" s="822"/>
      <c r="W760" s="822"/>
      <c r="X760" s="822"/>
      <c r="Y760" s="822"/>
      <c r="Z760" s="822"/>
      <c r="AA760" s="822"/>
      <c r="AB760" s="822"/>
      <c r="AC760" s="822"/>
      <c r="AD760" s="822"/>
      <c r="AE760" s="822"/>
      <c r="AF760" s="822"/>
      <c r="AG760" s="822"/>
      <c r="AH760" s="822"/>
      <c r="AI760" s="822"/>
      <c r="AJ760" s="822"/>
      <c r="AK760" s="822"/>
      <c r="AL760" s="822"/>
      <c r="AM760" s="822"/>
      <c r="AN760" s="822"/>
      <c r="AO760" s="822"/>
      <c r="AP760" s="822"/>
      <c r="AQ760" s="822"/>
      <c r="AR760" s="822"/>
      <c r="AS760" s="822"/>
      <c r="AT760" s="822"/>
      <c r="AU760" s="822"/>
      <c r="AV760" s="822"/>
      <c r="AW760" s="823"/>
      <c r="AX760" s="822"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AY760" s="822"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AZ760" s="822"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A760" s="822"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B760" s="822"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C760" s="822"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D760" s="822"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E760" s="822"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F760" s="822"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G760" s="346"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H760" s="821"/>
    </row>
    <row r="761" spans="1:60" customFormat="1" x14ac:dyDescent="0.25">
      <c r="A761" s="348" t="str">
        <f>$A$432</f>
        <v>Consensus Estimates - Cash Flow Per Diluted Share</v>
      </c>
      <c r="B761" s="822"/>
      <c r="C761" s="170"/>
      <c r="D761" s="170"/>
      <c r="E761" s="170"/>
      <c r="F761" s="170"/>
      <c r="G761" s="170"/>
      <c r="H761" s="822"/>
      <c r="I761" s="822"/>
      <c r="J761" s="822"/>
      <c r="K761" s="822"/>
      <c r="L761" s="822"/>
      <c r="M761" s="822"/>
      <c r="N761" s="822"/>
      <c r="O761" s="822"/>
      <c r="P761" s="822"/>
      <c r="Q761" s="822"/>
      <c r="R761" s="822"/>
      <c r="S761" s="822"/>
      <c r="T761" s="822"/>
      <c r="U761" s="822"/>
      <c r="V761" s="822"/>
      <c r="W761" s="822"/>
      <c r="X761" s="822"/>
      <c r="Y761" s="822"/>
      <c r="Z761" s="822"/>
      <c r="AA761" s="822"/>
      <c r="AB761" s="822"/>
      <c r="AC761" s="822"/>
      <c r="AD761" s="822"/>
      <c r="AE761" s="822"/>
      <c r="AF761" s="822"/>
      <c r="AG761" s="822"/>
      <c r="AH761" s="822"/>
      <c r="AI761" s="822"/>
      <c r="AJ761" s="822"/>
      <c r="AK761" s="822"/>
      <c r="AL761" s="822"/>
      <c r="AM761" s="822"/>
      <c r="AN761" s="822"/>
      <c r="AO761" s="822"/>
      <c r="AP761" s="822"/>
      <c r="AQ761" s="822"/>
      <c r="AR761" s="822"/>
      <c r="AS761" s="822"/>
      <c r="AT761" s="822"/>
      <c r="AU761" s="822"/>
      <c r="AV761" s="822"/>
      <c r="AW761" s="823"/>
      <c r="AX761" s="822"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AY761" s="822"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AZ761" s="822"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A761" s="822"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B761" s="822"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C761" s="822"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D761" s="822"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E761" s="822"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F761" s="822"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G761" s="346"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H761" s="821"/>
    </row>
    <row r="762" spans="1:60" customFormat="1" x14ac:dyDescent="0.25">
      <c r="A762" s="348" t="str">
        <f>A434</f>
        <v>Consensus Estimates - Capex</v>
      </c>
      <c r="B762" s="822"/>
      <c r="C762" s="169"/>
      <c r="D762" s="169"/>
      <c r="E762" s="169"/>
      <c r="F762" s="169"/>
      <c r="G762" s="169"/>
      <c r="H762" s="822"/>
      <c r="I762" s="822"/>
      <c r="J762" s="822"/>
      <c r="K762" s="822"/>
      <c r="L762" s="822"/>
      <c r="M762" s="822"/>
      <c r="N762" s="822"/>
      <c r="O762" s="822"/>
      <c r="P762" s="822"/>
      <c r="Q762" s="822"/>
      <c r="R762" s="822"/>
      <c r="S762" s="822"/>
      <c r="T762" s="822"/>
      <c r="U762" s="822"/>
      <c r="V762" s="822"/>
      <c r="W762" s="822"/>
      <c r="X762" s="822"/>
      <c r="Y762" s="822"/>
      <c r="Z762" s="822"/>
      <c r="AA762" s="822"/>
      <c r="AB762" s="822"/>
      <c r="AC762" s="822"/>
      <c r="AD762" s="822"/>
      <c r="AE762" s="822"/>
      <c r="AF762" s="822"/>
      <c r="AG762" s="822"/>
      <c r="AH762" s="822"/>
      <c r="AI762" s="822"/>
      <c r="AJ762" s="822"/>
      <c r="AK762" s="822"/>
      <c r="AL762" s="822"/>
      <c r="AM762" s="822"/>
      <c r="AN762" s="822"/>
      <c r="AO762" s="822"/>
      <c r="AP762" s="822"/>
      <c r="AQ762" s="822"/>
      <c r="AR762" s="822"/>
      <c r="AS762" s="822"/>
      <c r="AT762" s="822"/>
      <c r="AU762" s="822"/>
      <c r="AV762" s="822"/>
      <c r="AW762" s="823"/>
      <c r="AX762" s="822"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AY762" s="822"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AZ762" s="822"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A762" s="822"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B762" s="822"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C762" s="822"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D762" s="822"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E762" s="822"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F762" s="822"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G762" s="346"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H762" s="821"/>
    </row>
    <row r="763" spans="1:60" customFormat="1" x14ac:dyDescent="0.25">
      <c r="A763" s="349"/>
      <c r="B763" s="827"/>
      <c r="C763" s="344"/>
      <c r="D763" s="344"/>
      <c r="E763" s="827"/>
      <c r="F763" s="827"/>
      <c r="G763" s="827"/>
      <c r="H763" s="827"/>
      <c r="I763" s="827"/>
      <c r="J763" s="827"/>
      <c r="K763" s="827"/>
      <c r="L763" s="827"/>
      <c r="M763" s="827"/>
      <c r="N763" s="827"/>
      <c r="O763" s="827"/>
      <c r="P763" s="827"/>
      <c r="Q763" s="827"/>
      <c r="R763" s="827"/>
      <c r="S763" s="827"/>
      <c r="T763" s="827"/>
      <c r="U763" s="827"/>
      <c r="V763" s="827"/>
      <c r="W763" s="827"/>
      <c r="X763" s="827"/>
      <c r="Y763" s="827"/>
      <c r="Z763" s="827"/>
      <c r="AA763" s="827"/>
      <c r="AB763" s="827"/>
      <c r="AC763" s="827"/>
      <c r="AD763" s="827"/>
      <c r="AE763" s="827"/>
      <c r="AF763" s="827"/>
      <c r="AG763" s="827"/>
      <c r="AH763" s="827"/>
      <c r="AI763" s="827"/>
      <c r="AJ763" s="827"/>
      <c r="AK763" s="827"/>
      <c r="AL763" s="827"/>
      <c r="AM763" s="827"/>
      <c r="AN763" s="827"/>
      <c r="AO763" s="827"/>
      <c r="AP763" s="827"/>
      <c r="AQ763" s="827"/>
      <c r="AR763" s="827"/>
      <c r="AS763" s="827"/>
      <c r="AT763" s="827"/>
      <c r="AU763" s="827"/>
      <c r="AV763" s="827"/>
      <c r="AW763" s="828"/>
      <c r="AX763" s="827"/>
      <c r="AY763" s="827"/>
      <c r="AZ763" s="827"/>
      <c r="BA763" s="827"/>
      <c r="BB763" s="827"/>
      <c r="BC763" s="827"/>
      <c r="BD763" s="827"/>
      <c r="BE763" s="827"/>
      <c r="BF763" s="827"/>
      <c r="BG763" s="347"/>
      <c r="BH763" s="821"/>
    </row>
    <row r="764" spans="1:60" customFormat="1" x14ac:dyDescent="0.25">
      <c r="A764" s="338"/>
      <c r="B764" s="339"/>
      <c r="C764" s="340"/>
      <c r="D764" s="340"/>
      <c r="E764" s="339"/>
      <c r="F764" s="339"/>
      <c r="G764" s="339"/>
      <c r="H764" s="339"/>
      <c r="I764" s="339"/>
      <c r="J764" s="339"/>
      <c r="K764" s="339"/>
      <c r="L764" s="339"/>
      <c r="M764" s="339"/>
      <c r="N764" s="339"/>
      <c r="O764" s="339"/>
      <c r="P764" s="339"/>
      <c r="Q764" s="339"/>
      <c r="R764" s="339"/>
      <c r="S764" s="339"/>
      <c r="T764" s="339"/>
      <c r="U764" s="339"/>
      <c r="V764" s="339"/>
      <c r="W764" s="339"/>
      <c r="X764" s="339"/>
      <c r="Y764" s="339"/>
      <c r="Z764" s="339"/>
      <c r="AA764" s="339"/>
      <c r="AB764" s="339"/>
      <c r="AC764" s="339"/>
      <c r="AD764" s="339"/>
      <c r="AE764" s="339"/>
      <c r="AF764" s="339"/>
      <c r="AG764" s="339"/>
      <c r="AH764" s="339"/>
      <c r="AI764" s="339"/>
      <c r="AJ764" s="339"/>
      <c r="AK764" s="339"/>
      <c r="AL764" s="339"/>
      <c r="AM764" s="339"/>
      <c r="AN764" s="339"/>
      <c r="AO764" s="339"/>
      <c r="AP764" s="339"/>
      <c r="AQ764" s="339"/>
      <c r="AR764" s="339"/>
      <c r="AS764" s="339"/>
      <c r="AT764" s="339"/>
      <c r="AU764" s="339"/>
      <c r="AV764" s="339"/>
      <c r="AW764" s="601"/>
      <c r="AX764" s="339"/>
      <c r="AY764" s="339"/>
      <c r="AZ764" s="339"/>
      <c r="BA764" s="339"/>
      <c r="BB764" s="339"/>
      <c r="BC764" s="339"/>
      <c r="BD764" s="339"/>
      <c r="BE764" s="339"/>
      <c r="BF764" s="339"/>
      <c r="BG764" s="339"/>
      <c r="BH764" s="821"/>
    </row>
    <row r="765" spans="1:60" customFormat="1" x14ac:dyDescent="0.25">
      <c r="A765" s="297" t="s">
        <v>260</v>
      </c>
      <c r="B765" s="294"/>
      <c r="C765" s="295"/>
      <c r="D765" s="295"/>
      <c r="E765" s="294"/>
      <c r="F765" s="294"/>
      <c r="G765" s="294"/>
      <c r="H765" s="294"/>
      <c r="I765" s="294"/>
      <c r="J765" s="294"/>
      <c r="K765" s="294"/>
      <c r="L765" s="294"/>
      <c r="M765" s="294"/>
      <c r="N765" s="294"/>
      <c r="O765" s="294"/>
      <c r="P765" s="294"/>
      <c r="Q765" s="294"/>
      <c r="R765" s="294"/>
      <c r="S765" s="294"/>
      <c r="T765" s="294"/>
      <c r="U765" s="294"/>
      <c r="V765" s="294"/>
      <c r="W765" s="294"/>
      <c r="X765" s="294"/>
      <c r="Y765" s="294"/>
      <c r="Z765" s="294"/>
      <c r="AA765" s="294"/>
      <c r="AB765" s="294"/>
      <c r="AC765" s="294"/>
      <c r="AD765" s="294"/>
      <c r="AE765" s="294"/>
      <c r="AF765" s="294"/>
      <c r="AG765" s="294"/>
      <c r="AH765" s="294"/>
      <c r="AI765" s="294"/>
      <c r="AJ765" s="294"/>
      <c r="AK765" s="294"/>
      <c r="AL765" s="294"/>
      <c r="AM765" s="294"/>
      <c r="AN765" s="294"/>
      <c r="AO765" s="294"/>
      <c r="AP765" s="294"/>
      <c r="AQ765" s="294"/>
      <c r="AR765" s="294"/>
      <c r="AS765" s="294"/>
      <c r="AT765" s="294"/>
      <c r="AU765" s="294"/>
      <c r="AV765" s="294"/>
      <c r="AW765" s="602"/>
      <c r="AX765" s="294"/>
      <c r="AY765" s="294"/>
      <c r="AZ765" s="294"/>
      <c r="BA765" s="294"/>
      <c r="BB765" s="294"/>
      <c r="BC765" s="294"/>
      <c r="BD765" s="294"/>
      <c r="BE765" s="294"/>
      <c r="BF765" s="294"/>
      <c r="BG765" s="296"/>
      <c r="BH765" s="821"/>
    </row>
    <row r="766" spans="1:60" customFormat="1" x14ac:dyDescent="0.25">
      <c r="A766" s="298" t="s">
        <v>261</v>
      </c>
      <c r="B766" s="822"/>
      <c r="C766" s="299">
        <f t="shared" ref="C766:AH766" si="753">INDEX(MO_Common_QEndDate,0,COLUMN())-INDEX(MO_Common_FPDays,0,COLUMN())+1</f>
        <v>39814</v>
      </c>
      <c r="D766" s="299">
        <f t="shared" si="753"/>
        <v>40179</v>
      </c>
      <c r="E766" s="300">
        <f t="shared" si="753"/>
        <v>40544</v>
      </c>
      <c r="F766" s="300">
        <f t="shared" si="753"/>
        <v>40909</v>
      </c>
      <c r="G766" s="300">
        <f t="shared" si="753"/>
        <v>41275</v>
      </c>
      <c r="H766" s="300">
        <f t="shared" si="753"/>
        <v>41365</v>
      </c>
      <c r="I766" s="300">
        <f t="shared" si="753"/>
        <v>41456</v>
      </c>
      <c r="J766" s="300">
        <f t="shared" si="753"/>
        <v>41548</v>
      </c>
      <c r="K766" s="300">
        <f t="shared" si="753"/>
        <v>41275</v>
      </c>
      <c r="L766" s="300">
        <f t="shared" si="753"/>
        <v>41640</v>
      </c>
      <c r="M766" s="300">
        <f t="shared" si="753"/>
        <v>41730</v>
      </c>
      <c r="N766" s="300">
        <f t="shared" si="753"/>
        <v>41821</v>
      </c>
      <c r="O766" s="300">
        <f t="shared" si="753"/>
        <v>41913</v>
      </c>
      <c r="P766" s="300">
        <f t="shared" si="753"/>
        <v>41640</v>
      </c>
      <c r="Q766" s="300">
        <f t="shared" si="753"/>
        <v>42005</v>
      </c>
      <c r="R766" s="300">
        <f t="shared" si="753"/>
        <v>42095</v>
      </c>
      <c r="S766" s="300">
        <f t="shared" si="753"/>
        <v>42186</v>
      </c>
      <c r="T766" s="300">
        <f t="shared" si="753"/>
        <v>42278</v>
      </c>
      <c r="U766" s="300">
        <f t="shared" si="753"/>
        <v>42005</v>
      </c>
      <c r="V766" s="300">
        <f t="shared" si="753"/>
        <v>42370</v>
      </c>
      <c r="W766" s="300">
        <f t="shared" si="753"/>
        <v>42461</v>
      </c>
      <c r="X766" s="300">
        <f t="shared" si="753"/>
        <v>42552</v>
      </c>
      <c r="Y766" s="300">
        <f t="shared" si="753"/>
        <v>42644</v>
      </c>
      <c r="Z766" s="300">
        <f t="shared" si="753"/>
        <v>42370</v>
      </c>
      <c r="AA766" s="300">
        <f t="shared" si="753"/>
        <v>42736</v>
      </c>
      <c r="AB766" s="300">
        <f t="shared" si="753"/>
        <v>42826</v>
      </c>
      <c r="AC766" s="300">
        <f t="shared" si="753"/>
        <v>42917</v>
      </c>
      <c r="AD766" s="300">
        <f t="shared" si="753"/>
        <v>43009</v>
      </c>
      <c r="AE766" s="300">
        <f t="shared" si="753"/>
        <v>42736</v>
      </c>
      <c r="AF766" s="300">
        <f t="shared" si="753"/>
        <v>43101</v>
      </c>
      <c r="AG766" s="300">
        <f t="shared" si="753"/>
        <v>43191</v>
      </c>
      <c r="AH766" s="300">
        <f t="shared" si="753"/>
        <v>43282</v>
      </c>
      <c r="AI766" s="300">
        <f t="shared" ref="AI766:BG766" si="754">INDEX(MO_Common_QEndDate,0,COLUMN())-INDEX(MO_Common_FPDays,0,COLUMN())+1</f>
        <v>43374</v>
      </c>
      <c r="AJ766" s="300">
        <f t="shared" si="754"/>
        <v>43101</v>
      </c>
      <c r="AK766" s="300">
        <f t="shared" si="754"/>
        <v>43466</v>
      </c>
      <c r="AL766" s="300">
        <f t="shared" si="754"/>
        <v>43556</v>
      </c>
      <c r="AM766" s="300">
        <f t="shared" si="754"/>
        <v>43647</v>
      </c>
      <c r="AN766" s="300">
        <f t="shared" si="754"/>
        <v>43739</v>
      </c>
      <c r="AO766" s="300">
        <f t="shared" si="754"/>
        <v>43466</v>
      </c>
      <c r="AP766" s="300">
        <f t="shared" si="754"/>
        <v>43831</v>
      </c>
      <c r="AQ766" s="300">
        <f t="shared" si="754"/>
        <v>43922</v>
      </c>
      <c r="AR766" s="300">
        <f t="shared" si="754"/>
        <v>44013</v>
      </c>
      <c r="AS766" s="300">
        <f t="shared" si="754"/>
        <v>44105</v>
      </c>
      <c r="AT766" s="300">
        <f t="shared" si="754"/>
        <v>43831</v>
      </c>
      <c r="AU766" s="300">
        <f t="shared" si="754"/>
        <v>44197</v>
      </c>
      <c r="AV766" s="300">
        <f t="shared" si="754"/>
        <v>44287</v>
      </c>
      <c r="AW766" s="603">
        <f t="shared" si="754"/>
        <v>44378</v>
      </c>
      <c r="AX766" s="300">
        <f t="shared" si="754"/>
        <v>44470</v>
      </c>
      <c r="AY766" s="300">
        <f t="shared" si="754"/>
        <v>44197</v>
      </c>
      <c r="AZ766" s="300">
        <f t="shared" si="754"/>
        <v>44562</v>
      </c>
      <c r="BA766" s="300">
        <f t="shared" si="754"/>
        <v>44652</v>
      </c>
      <c r="BB766" s="300">
        <f t="shared" si="754"/>
        <v>44743</v>
      </c>
      <c r="BC766" s="300">
        <f t="shared" si="754"/>
        <v>44835</v>
      </c>
      <c r="BD766" s="300">
        <f t="shared" si="754"/>
        <v>44562</v>
      </c>
      <c r="BE766" s="300">
        <f t="shared" si="754"/>
        <v>44927</v>
      </c>
      <c r="BF766" s="300">
        <f t="shared" si="754"/>
        <v>45292</v>
      </c>
      <c r="BG766" s="301">
        <f t="shared" si="754"/>
        <v>45658</v>
      </c>
      <c r="BH766" s="821"/>
    </row>
    <row r="767" spans="1:60" customFormat="1" x14ac:dyDescent="0.25">
      <c r="A767" s="298" t="s">
        <v>408</v>
      </c>
      <c r="B767" s="822"/>
      <c r="C767" s="299" t="b">
        <f>TRUE</f>
        <v>1</v>
      </c>
      <c r="D767" s="299" t="b">
        <f>TRUE</f>
        <v>1</v>
      </c>
      <c r="E767" s="300" t="b">
        <f>TRUE</f>
        <v>1</v>
      </c>
      <c r="F767" s="300" t="b">
        <f>TRUE</f>
        <v>1</v>
      </c>
      <c r="G767" s="300" t="b">
        <f>TRUE</f>
        <v>1</v>
      </c>
      <c r="H767" s="300" t="b">
        <f>TRUE</f>
        <v>1</v>
      </c>
      <c r="I767" s="300" t="b">
        <f>TRUE</f>
        <v>1</v>
      </c>
      <c r="J767" s="300" t="b">
        <f>TRUE</f>
        <v>1</v>
      </c>
      <c r="K767" s="300" t="b">
        <f>TRUE</f>
        <v>1</v>
      </c>
      <c r="L767" s="300" t="b">
        <f>TRUE</f>
        <v>1</v>
      </c>
      <c r="M767" s="300" t="b">
        <f>TRUE</f>
        <v>1</v>
      </c>
      <c r="N767" s="300" t="b">
        <f>TRUE</f>
        <v>1</v>
      </c>
      <c r="O767" s="300" t="b">
        <f>TRUE</f>
        <v>1</v>
      </c>
      <c r="P767" s="300" t="b">
        <f>TRUE</f>
        <v>1</v>
      </c>
      <c r="Q767" s="300" t="b">
        <f>TRUE</f>
        <v>1</v>
      </c>
      <c r="R767" s="300" t="b">
        <f>TRUE</f>
        <v>1</v>
      </c>
      <c r="S767" s="300" t="b">
        <f>TRUE</f>
        <v>1</v>
      </c>
      <c r="T767" s="300" t="b">
        <f>TRUE</f>
        <v>1</v>
      </c>
      <c r="U767" s="300" t="b">
        <f>TRUE</f>
        <v>1</v>
      </c>
      <c r="V767" s="300" t="b">
        <f>TRUE</f>
        <v>1</v>
      </c>
      <c r="W767" s="300" t="b">
        <f>TRUE</f>
        <v>1</v>
      </c>
      <c r="X767" s="300" t="b">
        <f>TRUE</f>
        <v>1</v>
      </c>
      <c r="Y767" s="300" t="b">
        <f>TRUE</f>
        <v>1</v>
      </c>
      <c r="Z767" s="300" t="b">
        <f>TRUE</f>
        <v>1</v>
      </c>
      <c r="AA767" s="300" t="b">
        <f>TRUE</f>
        <v>1</v>
      </c>
      <c r="AB767" s="300" t="b">
        <f>TRUE</f>
        <v>1</v>
      </c>
      <c r="AC767" s="300" t="b">
        <f>TRUE</f>
        <v>1</v>
      </c>
      <c r="AD767" s="300" t="b">
        <f>TRUE</f>
        <v>1</v>
      </c>
      <c r="AE767" s="300" t="b">
        <f>TRUE</f>
        <v>1</v>
      </c>
      <c r="AF767" s="300" t="b">
        <f>TRUE</f>
        <v>1</v>
      </c>
      <c r="AG767" s="300" t="b">
        <f>TRUE</f>
        <v>1</v>
      </c>
      <c r="AH767" s="300" t="b">
        <f>TRUE</f>
        <v>1</v>
      </c>
      <c r="AI767" s="300" t="b">
        <f>TRUE</f>
        <v>1</v>
      </c>
      <c r="AJ767" s="300" t="b">
        <f>TRUE</f>
        <v>1</v>
      </c>
      <c r="AK767" s="300" t="b">
        <f>TRUE</f>
        <v>1</v>
      </c>
      <c r="AL767" s="300" t="b">
        <f>TRUE</f>
        <v>1</v>
      </c>
      <c r="AM767" s="300" t="b">
        <f>TRUE</f>
        <v>1</v>
      </c>
      <c r="AN767" s="300" t="b">
        <f>TRUE</f>
        <v>1</v>
      </c>
      <c r="AO767" s="300" t="b">
        <f>TRUE</f>
        <v>1</v>
      </c>
      <c r="AP767" s="300" t="b">
        <f>TRUE</f>
        <v>1</v>
      </c>
      <c r="AQ767" s="300" t="b">
        <f>TRUE</f>
        <v>1</v>
      </c>
      <c r="AR767" s="300" t="b">
        <f>TRUE</f>
        <v>1</v>
      </c>
      <c r="AS767" s="300" t="b">
        <f>TRUE</f>
        <v>1</v>
      </c>
      <c r="AT767" s="300" t="b">
        <f>TRUE</f>
        <v>1</v>
      </c>
      <c r="AU767" s="300" t="b">
        <f>TRUE</f>
        <v>1</v>
      </c>
      <c r="AV767" s="300" t="b">
        <f>TRUE</f>
        <v>1</v>
      </c>
      <c r="AW767" s="603" t="b">
        <f>TRUE</f>
        <v>1</v>
      </c>
      <c r="AX767" s="300" t="b">
        <f>FALSE</f>
        <v>0</v>
      </c>
      <c r="AY767" s="300" t="b">
        <f>FALSE</f>
        <v>0</v>
      </c>
      <c r="AZ767" s="300" t="b">
        <f>FALSE</f>
        <v>0</v>
      </c>
      <c r="BA767" s="300" t="b">
        <f>FALSE</f>
        <v>0</v>
      </c>
      <c r="BB767" s="300" t="b">
        <f>FALSE</f>
        <v>0</v>
      </c>
      <c r="BC767" s="300" t="b">
        <f>FALSE</f>
        <v>0</v>
      </c>
      <c r="BD767" s="300" t="b">
        <f>FALSE</f>
        <v>0</v>
      </c>
      <c r="BE767" s="300" t="b">
        <f>FALSE</f>
        <v>0</v>
      </c>
      <c r="BF767" s="300" t="b">
        <f>FALSE</f>
        <v>0</v>
      </c>
      <c r="BG767" s="301" t="b">
        <f>FALSE</f>
        <v>0</v>
      </c>
      <c r="BH767" s="821"/>
    </row>
    <row r="768" spans="1:60" customFormat="1" x14ac:dyDescent="0.25">
      <c r="A768" s="302" t="str">
        <f ca="1">"Stock High: "&amp;IF(OR(MO.RealTimeStockPriceToggle=FALSE,VLOOKUP(MO.DataSourceName,MO_SPT_StockHigh_Sources,COLUMN()+2,FALSE)="N/A"),"Real-Time Off Source",MO.DataSourceName)</f>
        <v>Stock High: Real-Time Off Source</v>
      </c>
      <c r="B768" s="303"/>
      <c r="C768" s="304">
        <f t="shared" ref="C768:AH768" ca="1" si="755">IF(OR(MO.RealTimeStockPriceToggle=FALSE,VLOOKUP(MO.DataSourceName,MO_SPT_StockHigh_Sources,COLUMN(),FALSE)="N/A"),VLOOKUP("Real-Time Off Source",MO_SPT_StockHigh_Sources,COLUMN(),FALSE),VLOOKUP(MO.DataSourceName,MO_SPT_StockHigh_Sources,COLUMN(),FALSE))</f>
        <v>8.8071428571428605</v>
      </c>
      <c r="D768" s="304">
        <f t="shared" ca="1" si="755"/>
        <v>29.891428571428602</v>
      </c>
      <c r="E768" s="303">
        <f t="shared" ca="1" si="755"/>
        <v>6.2202040816326498</v>
      </c>
      <c r="F768" s="303">
        <f t="shared" ca="1" si="755"/>
        <v>19.0614285714286</v>
      </c>
      <c r="G768" s="303">
        <f t="shared" ca="1" si="755"/>
        <v>28.231428571428602</v>
      </c>
      <c r="H768" s="303">
        <f t="shared" ca="1" si="755"/>
        <v>35.549999999999997</v>
      </c>
      <c r="I768" s="303">
        <f t="shared" ca="1" si="755"/>
        <v>45.77</v>
      </c>
      <c r="J768" s="303">
        <f t="shared" ca="1" si="755"/>
        <v>55.594285714285697</v>
      </c>
      <c r="K768" s="303">
        <f t="shared" ca="1" si="755"/>
        <v>55.594285714285697</v>
      </c>
      <c r="L768" s="303">
        <f t="shared" ca="1" si="755"/>
        <v>65.430000000000007</v>
      </c>
      <c r="M768" s="303">
        <f t="shared" ca="1" si="755"/>
        <v>64.400000000000006</v>
      </c>
      <c r="N768" s="303">
        <f t="shared" ca="1" si="755"/>
        <v>69.900000000000006</v>
      </c>
      <c r="O768" s="303">
        <f t="shared" ca="1" si="755"/>
        <v>66.86</v>
      </c>
      <c r="P768" s="303">
        <f t="shared" ca="1" si="755"/>
        <v>69.900000000000006</v>
      </c>
      <c r="Q768" s="303">
        <f t="shared" ca="1" si="755"/>
        <v>69.5</v>
      </c>
      <c r="R768" s="303">
        <f t="shared" ca="1" si="755"/>
        <v>100.89</v>
      </c>
      <c r="S768" s="303">
        <f t="shared" ca="1" si="755"/>
        <v>129.29</v>
      </c>
      <c r="T768" s="303">
        <f t="shared" ca="1" si="755"/>
        <v>133.27000000000001</v>
      </c>
      <c r="U768" s="303">
        <f t="shared" ca="1" si="755"/>
        <v>133.27000000000001</v>
      </c>
      <c r="V768" s="303">
        <f t="shared" ca="1" si="755"/>
        <v>122.18</v>
      </c>
      <c r="W768" s="303">
        <f t="shared" ca="1" si="755"/>
        <v>111.85</v>
      </c>
      <c r="X768" s="303">
        <f t="shared" ca="1" si="755"/>
        <v>101.27</v>
      </c>
      <c r="Y768" s="303">
        <f t="shared" ca="1" si="755"/>
        <v>129.29</v>
      </c>
      <c r="Z768" s="303">
        <f t="shared" ca="1" si="755"/>
        <v>129.29</v>
      </c>
      <c r="AA768" s="303">
        <f t="shared" ca="1" si="755"/>
        <v>148.29</v>
      </c>
      <c r="AB768" s="303">
        <f t="shared" ca="1" si="755"/>
        <v>166.87</v>
      </c>
      <c r="AC768" s="303">
        <f t="shared" ca="1" si="755"/>
        <v>191.5</v>
      </c>
      <c r="AD768" s="303">
        <f t="shared" ca="1" si="755"/>
        <v>204.38</v>
      </c>
      <c r="AE768" s="303">
        <f t="shared" ca="1" si="755"/>
        <v>204.38</v>
      </c>
      <c r="AF768" s="303">
        <f t="shared" ca="1" si="755"/>
        <v>331.44</v>
      </c>
      <c r="AG768" s="303">
        <f t="shared" ca="1" si="755"/>
        <v>416.76</v>
      </c>
      <c r="AH768" s="303">
        <f t="shared" ca="1" si="755"/>
        <v>418.97</v>
      </c>
      <c r="AI768" s="303">
        <f t="shared" ref="AI768:BG768" ca="1" si="756">IF(OR(MO.RealTimeStockPriceToggle=FALSE,VLOOKUP(MO.DataSourceName,MO_SPT_StockHigh_Sources,COLUMN(),FALSE)="N/A"),VLOOKUP("Real-Time Off Source",MO_SPT_StockHigh_Sources,COLUMN(),FALSE),VLOOKUP(MO.DataSourceName,MO_SPT_StockHigh_Sources,COLUMN(),FALSE))</f>
        <v>381.43</v>
      </c>
      <c r="AJ768" s="303">
        <f t="shared" ca="1" si="756"/>
        <v>418.97</v>
      </c>
      <c r="AK768" s="303">
        <f t="shared" ca="1" si="756"/>
        <v>377.87</v>
      </c>
      <c r="AL768" s="303">
        <f t="shared" ca="1" si="756"/>
        <v>385.03</v>
      </c>
      <c r="AM768" s="303">
        <f t="shared" ca="1" si="756"/>
        <v>381.72</v>
      </c>
      <c r="AN768" s="303">
        <f t="shared" ca="1" si="756"/>
        <v>336.9</v>
      </c>
      <c r="AO768" s="303">
        <f t="shared" ca="1" si="756"/>
        <v>385.03</v>
      </c>
      <c r="AP768" s="303">
        <f t="shared" ca="1" si="756"/>
        <v>387.78</v>
      </c>
      <c r="AQ768" s="303">
        <f t="shared" ca="1" si="756"/>
        <v>468.04</v>
      </c>
      <c r="AR768" s="303">
        <f t="shared" ca="1" si="756"/>
        <v>556.54999999999995</v>
      </c>
      <c r="AS768" s="303">
        <f t="shared" ca="1" si="756"/>
        <v>554.09</v>
      </c>
      <c r="AT768" s="303">
        <f t="shared" ca="1" si="756"/>
        <v>556.54999999999995</v>
      </c>
      <c r="AU768" s="303">
        <f t="shared" ca="1" si="756"/>
        <v>586.34</v>
      </c>
      <c r="AV768" s="303">
        <f t="shared" ca="1" si="756"/>
        <v>555.30999999999995</v>
      </c>
      <c r="AW768" s="604">
        <f t="shared" ca="1" si="756"/>
        <v>610.34</v>
      </c>
      <c r="AX768" s="303">
        <f t="shared" ca="1" si="756"/>
        <v>0</v>
      </c>
      <c r="AY768" s="303">
        <f t="shared" ca="1" si="756"/>
        <v>0</v>
      </c>
      <c r="AZ768" s="303">
        <f t="shared" ca="1" si="756"/>
        <v>0</v>
      </c>
      <c r="BA768" s="303">
        <f t="shared" ca="1" si="756"/>
        <v>0</v>
      </c>
      <c r="BB768" s="303">
        <f t="shared" ca="1" si="756"/>
        <v>0</v>
      </c>
      <c r="BC768" s="303">
        <f t="shared" ca="1" si="756"/>
        <v>0</v>
      </c>
      <c r="BD768" s="303">
        <f t="shared" ca="1" si="756"/>
        <v>0</v>
      </c>
      <c r="BE768" s="303">
        <f t="shared" ca="1" si="756"/>
        <v>0</v>
      </c>
      <c r="BF768" s="303">
        <f t="shared" ca="1" si="756"/>
        <v>0</v>
      </c>
      <c r="BG768" s="305">
        <f t="shared" ca="1" si="756"/>
        <v>0</v>
      </c>
      <c r="BH768" s="277"/>
    </row>
    <row r="769" spans="1:60" customFormat="1" hidden="1" outlineLevel="1" x14ac:dyDescent="0.25">
      <c r="A769" s="306" t="s">
        <v>262</v>
      </c>
      <c r="B769" s="303"/>
      <c r="C769" s="304">
        <v>8.8071428571428605</v>
      </c>
      <c r="D769" s="304">
        <v>29.891428571428602</v>
      </c>
      <c r="E769" s="303">
        <v>6.2202040816326498</v>
      </c>
      <c r="F769" s="303">
        <v>19.0614285714286</v>
      </c>
      <c r="G769" s="303">
        <v>28.231428571428602</v>
      </c>
      <c r="H769" s="303">
        <v>35.549999999999997</v>
      </c>
      <c r="I769" s="303">
        <v>45.77</v>
      </c>
      <c r="J769" s="303">
        <v>55.594285714285697</v>
      </c>
      <c r="K769" s="303">
        <v>55.594285714285697</v>
      </c>
      <c r="L769" s="303">
        <v>65.430000000000007</v>
      </c>
      <c r="M769" s="303">
        <v>64.400000000000006</v>
      </c>
      <c r="N769" s="303">
        <v>69.900000000000006</v>
      </c>
      <c r="O769" s="303">
        <v>66.86</v>
      </c>
      <c r="P769" s="303">
        <v>69.900000000000006</v>
      </c>
      <c r="Q769" s="303">
        <v>69.5</v>
      </c>
      <c r="R769" s="303">
        <v>100.89</v>
      </c>
      <c r="S769" s="303">
        <v>129.29</v>
      </c>
      <c r="T769" s="303">
        <v>133.27000000000001</v>
      </c>
      <c r="U769" s="303">
        <v>133.27000000000001</v>
      </c>
      <c r="V769" s="303">
        <v>122.18</v>
      </c>
      <c r="W769" s="303">
        <v>111.85</v>
      </c>
      <c r="X769" s="303">
        <v>101.27</v>
      </c>
      <c r="Y769" s="303">
        <v>129.29</v>
      </c>
      <c r="Z769" s="303">
        <v>129.29</v>
      </c>
      <c r="AA769" s="303">
        <v>148.29</v>
      </c>
      <c r="AB769" s="303">
        <v>166.87</v>
      </c>
      <c r="AC769" s="303">
        <v>191.5</v>
      </c>
      <c r="AD769" s="303">
        <v>204.38</v>
      </c>
      <c r="AE769" s="303">
        <v>204.38</v>
      </c>
      <c r="AF769" s="303">
        <v>331.44</v>
      </c>
      <c r="AG769" s="303">
        <v>416.76</v>
      </c>
      <c r="AH769" s="303">
        <v>418.97</v>
      </c>
      <c r="AI769" s="303">
        <v>381.43</v>
      </c>
      <c r="AJ769" s="303">
        <v>418.97</v>
      </c>
      <c r="AK769" s="303">
        <v>377.87</v>
      </c>
      <c r="AL769" s="303">
        <v>385.03</v>
      </c>
      <c r="AM769" s="303">
        <v>381.72</v>
      </c>
      <c r="AN769" s="303">
        <v>336.9</v>
      </c>
      <c r="AO769" s="303">
        <v>385.03</v>
      </c>
      <c r="AP769" s="303">
        <v>387.78</v>
      </c>
      <c r="AQ769" s="303">
        <v>468.04</v>
      </c>
      <c r="AR769" s="303">
        <v>556.54999999999995</v>
      </c>
      <c r="AS769" s="303">
        <v>554.09</v>
      </c>
      <c r="AT769" s="303">
        <v>556.54999999999995</v>
      </c>
      <c r="AU769" s="303">
        <v>586.34</v>
      </c>
      <c r="AV769" s="303">
        <v>555.30999999999995</v>
      </c>
      <c r="AW769" s="604">
        <v>610.34</v>
      </c>
      <c r="AX769" s="303"/>
      <c r="AY769" s="303"/>
      <c r="AZ769" s="303"/>
      <c r="BA769" s="303"/>
      <c r="BB769" s="303"/>
      <c r="BC769" s="303"/>
      <c r="BD769" s="303"/>
      <c r="BE769" s="303"/>
      <c r="BF769" s="303"/>
      <c r="BG769" s="305"/>
      <c r="BH769" s="277"/>
    </row>
    <row r="770" spans="1:60" customFormat="1" hidden="1" outlineLevel="1" x14ac:dyDescent="0.25">
      <c r="A770" s="306" t="s">
        <v>7</v>
      </c>
      <c r="B770" s="303"/>
      <c r="C770" s="304" t="str">
        <f ca="1">IFERROR(BDP(MO.Ticker.Bloomberg&amp;" Equity","INTERVAL_HIGH","MARKET_DATA_OVERRIDE=PX_LAST","START_DATE_OVERRIDE",TEXT(INDEX(MO_SNA_FPStartDate,0,COLUMN()),"YYYYMMDD"),"END_DATE_OVERRIDE",TEXT(INDEX(MO_Common_QEndDate,0,COLUMN()),"YYYYMMDD")),"N/A")</f>
        <v>N/A</v>
      </c>
      <c r="D770" s="304" t="str">
        <f ca="1">IFERROR(BDP(MO.Ticker.Bloomberg&amp;" Equity","INTERVAL_HIGH","MARKET_DATA_OVERRIDE=PX_LAST","START_DATE_OVERRIDE",TEXT(INDEX(MO_SNA_FPStartDate,0,COLUMN()),"YYYYMMDD"),"END_DATE_OVERRIDE",TEXT(INDEX(MO_Common_QEndDate,0,COLUMN()),"YYYYMMDD")),"N/A")</f>
        <v>N/A</v>
      </c>
      <c r="E770" s="303" t="str">
        <f ca="1">IFERROR(BDP(MO.Ticker.Bloomberg&amp;" Equity","INTERVAL_HIGH","MARKET_DATA_OVERRIDE=PX_LAST","START_DATE_OVERRIDE",TEXT(INDEX(MO_SNA_FPStartDate,0,COLUMN()),"YYYYMMDD"),"END_DATE_OVERRIDE",TEXT(INDEX(MO_Common_QEndDate,0,COLUMN()),"YYYYMMDD")),"N/A")</f>
        <v>N/A</v>
      </c>
      <c r="F770" s="303" t="str">
        <f ca="1">IFERROR(BDP(MO.Ticker.Bloomberg&amp;" Equity","INTERVAL_HIGH","MARKET_DATA_OVERRIDE=PX_LAST","START_DATE_OVERRIDE",TEXT(INDEX(MO_SNA_FPStartDate,0,COLUMN()),"YYYYMMDD"),"END_DATE_OVERRIDE",TEXT(INDEX(MO_Common_QEndDate,0,COLUMN()),"YYYYMMDD")),"N/A")</f>
        <v>N/A</v>
      </c>
      <c r="G770" s="303" t="str">
        <f ca="1">IFERROR(BDP(MO.Ticker.Bloomberg&amp;" Equity","INTERVAL_HIGH","MARKET_DATA_OVERRIDE=PX_LAST","START_DATE_OVERRIDE",TEXT(INDEX(MO_SNA_FPStartDate,0,COLUMN()),"YYYYMMDD"),"END_DATE_OVERRIDE",TEXT(INDEX(MO_Common_QEndDate,0,COLUMN()),"YYYYMMDD")),"N/A")</f>
        <v>N/A</v>
      </c>
      <c r="H770" s="303" t="str">
        <f ca="1">IFERROR(BDP(MO.Ticker.Bloomberg&amp;" Equity","INTERVAL_HIGH","MARKET_DATA_OVERRIDE=PX_LAST","START_DATE_OVERRIDE",TEXT(INDEX(MO_SNA_FPStartDate,0,COLUMN()),"YYYYMMDD"),"END_DATE_OVERRIDE",TEXT(INDEX(MO_Common_QEndDate,0,COLUMN()),"YYYYMMDD")),"N/A")</f>
        <v>N/A</v>
      </c>
      <c r="I770" s="303" t="str">
        <f ca="1">IFERROR(BDP(MO.Ticker.Bloomberg&amp;" Equity","INTERVAL_HIGH","MARKET_DATA_OVERRIDE=PX_LAST","START_DATE_OVERRIDE",TEXT(INDEX(MO_SNA_FPStartDate,0,COLUMN()),"YYYYMMDD"),"END_DATE_OVERRIDE",TEXT(INDEX(MO_Common_QEndDate,0,COLUMN()),"YYYYMMDD")),"N/A")</f>
        <v>N/A</v>
      </c>
      <c r="J770" s="303" t="str">
        <f ca="1">IFERROR(BDP(MO.Ticker.Bloomberg&amp;" Equity","INTERVAL_HIGH","MARKET_DATA_OVERRIDE=PX_LAST","START_DATE_OVERRIDE",TEXT(INDEX(MO_SNA_FPStartDate,0,COLUMN()),"YYYYMMDD"),"END_DATE_OVERRIDE",TEXT(INDEX(MO_Common_QEndDate,0,COLUMN()),"YYYYMMDD")),"N/A")</f>
        <v>N/A</v>
      </c>
      <c r="K770" s="303" t="str">
        <f ca="1">IFERROR(BDP(MO.Ticker.Bloomberg&amp;" Equity","INTERVAL_HIGH","MARKET_DATA_OVERRIDE=PX_LAST","START_DATE_OVERRIDE",TEXT(INDEX(MO_SNA_FPStartDate,0,COLUMN()),"YYYYMMDD"),"END_DATE_OVERRIDE",TEXT(INDEX(MO_Common_QEndDate,0,COLUMN()),"YYYYMMDD")),"N/A")</f>
        <v>N/A</v>
      </c>
      <c r="L770" s="303" t="str">
        <f ca="1">IFERROR(BDP(MO.Ticker.Bloomberg&amp;" Equity","INTERVAL_HIGH","MARKET_DATA_OVERRIDE=PX_LAST","START_DATE_OVERRIDE",TEXT(INDEX(MO_SNA_FPStartDate,0,COLUMN()),"YYYYMMDD"),"END_DATE_OVERRIDE",TEXT(INDEX(MO_Common_QEndDate,0,COLUMN()),"YYYYMMDD")),"N/A")</f>
        <v>N/A</v>
      </c>
      <c r="M770" s="303" t="str">
        <f ca="1">IFERROR(BDP(MO.Ticker.Bloomberg&amp;" Equity","INTERVAL_HIGH","MARKET_DATA_OVERRIDE=PX_LAST","START_DATE_OVERRIDE",TEXT(INDEX(MO_SNA_FPStartDate,0,COLUMN()),"YYYYMMDD"),"END_DATE_OVERRIDE",TEXT(INDEX(MO_Common_QEndDate,0,COLUMN()),"YYYYMMDD")),"N/A")</f>
        <v>N/A</v>
      </c>
      <c r="N770" s="303" t="str">
        <f ca="1">IFERROR(BDP(MO.Ticker.Bloomberg&amp;" Equity","INTERVAL_HIGH","MARKET_DATA_OVERRIDE=PX_LAST","START_DATE_OVERRIDE",TEXT(INDEX(MO_SNA_FPStartDate,0,COLUMN()),"YYYYMMDD"),"END_DATE_OVERRIDE",TEXT(INDEX(MO_Common_QEndDate,0,COLUMN()),"YYYYMMDD")),"N/A")</f>
        <v>N/A</v>
      </c>
      <c r="O770" s="303" t="str">
        <f ca="1">IFERROR(BDP(MO.Ticker.Bloomberg&amp;" Equity","INTERVAL_HIGH","MARKET_DATA_OVERRIDE=PX_LAST","START_DATE_OVERRIDE",TEXT(INDEX(MO_SNA_FPStartDate,0,COLUMN()),"YYYYMMDD"),"END_DATE_OVERRIDE",TEXT(INDEX(MO_Common_QEndDate,0,COLUMN()),"YYYYMMDD")),"N/A")</f>
        <v>N/A</v>
      </c>
      <c r="P770" s="303" t="str">
        <f ca="1">IFERROR(BDP(MO.Ticker.Bloomberg&amp;" Equity","INTERVAL_HIGH","MARKET_DATA_OVERRIDE=PX_LAST","START_DATE_OVERRIDE",TEXT(INDEX(MO_SNA_FPStartDate,0,COLUMN()),"YYYYMMDD"),"END_DATE_OVERRIDE",TEXT(INDEX(MO_Common_QEndDate,0,COLUMN()),"YYYYMMDD")),"N/A")</f>
        <v>N/A</v>
      </c>
      <c r="Q770" s="303" t="str">
        <f ca="1">IFERROR(BDP(MO.Ticker.Bloomberg&amp;" Equity","INTERVAL_HIGH","MARKET_DATA_OVERRIDE=PX_LAST","START_DATE_OVERRIDE",TEXT(INDEX(MO_SNA_FPStartDate,0,COLUMN()),"YYYYMMDD"),"END_DATE_OVERRIDE",TEXT(INDEX(MO_Common_QEndDate,0,COLUMN()),"YYYYMMDD")),"N/A")</f>
        <v>N/A</v>
      </c>
      <c r="R770" s="303" t="str">
        <f ca="1">IFERROR(BDP(MO.Ticker.Bloomberg&amp;" Equity","INTERVAL_HIGH","MARKET_DATA_OVERRIDE=PX_LAST","START_DATE_OVERRIDE",TEXT(INDEX(MO_SNA_FPStartDate,0,COLUMN()),"YYYYMMDD"),"END_DATE_OVERRIDE",TEXT(INDEX(MO_Common_QEndDate,0,COLUMN()),"YYYYMMDD")),"N/A")</f>
        <v>N/A</v>
      </c>
      <c r="S770" s="303" t="str">
        <f ca="1">IFERROR(BDP(MO.Ticker.Bloomberg&amp;" Equity","INTERVAL_HIGH","MARKET_DATA_OVERRIDE=PX_LAST","START_DATE_OVERRIDE",TEXT(INDEX(MO_SNA_FPStartDate,0,COLUMN()),"YYYYMMDD"),"END_DATE_OVERRIDE",TEXT(INDEX(MO_Common_QEndDate,0,COLUMN()),"YYYYMMDD")),"N/A")</f>
        <v>N/A</v>
      </c>
      <c r="T770" s="303" t="str">
        <f ca="1">IFERROR(BDP(MO.Ticker.Bloomberg&amp;" Equity","INTERVAL_HIGH","MARKET_DATA_OVERRIDE=PX_LAST","START_DATE_OVERRIDE",TEXT(INDEX(MO_SNA_FPStartDate,0,COLUMN()),"YYYYMMDD"),"END_DATE_OVERRIDE",TEXT(INDEX(MO_Common_QEndDate,0,COLUMN()),"YYYYMMDD")),"N/A")</f>
        <v>N/A</v>
      </c>
      <c r="U770" s="303" t="str">
        <f ca="1">IFERROR(BDP(MO.Ticker.Bloomberg&amp;" Equity","INTERVAL_HIGH","MARKET_DATA_OVERRIDE=PX_LAST","START_DATE_OVERRIDE",TEXT(INDEX(MO_SNA_FPStartDate,0,COLUMN()),"YYYYMMDD"),"END_DATE_OVERRIDE",TEXT(INDEX(MO_Common_QEndDate,0,COLUMN()),"YYYYMMDD")),"N/A")</f>
        <v>N/A</v>
      </c>
      <c r="V770" s="303" t="str">
        <f ca="1">IFERROR(BDP(MO.Ticker.Bloomberg&amp;" Equity","INTERVAL_HIGH","MARKET_DATA_OVERRIDE=PX_LAST","START_DATE_OVERRIDE",TEXT(INDEX(MO_SNA_FPStartDate,0,COLUMN()),"YYYYMMDD"),"END_DATE_OVERRIDE",TEXT(INDEX(MO_Common_QEndDate,0,COLUMN()),"YYYYMMDD")),"N/A")</f>
        <v>N/A</v>
      </c>
      <c r="W770" s="303" t="str">
        <f ca="1">IFERROR(BDP(MO.Ticker.Bloomberg&amp;" Equity","INTERVAL_HIGH","MARKET_DATA_OVERRIDE=PX_LAST","START_DATE_OVERRIDE",TEXT(INDEX(MO_SNA_FPStartDate,0,COLUMN()),"YYYYMMDD"),"END_DATE_OVERRIDE",TEXT(INDEX(MO_Common_QEndDate,0,COLUMN()),"YYYYMMDD")),"N/A")</f>
        <v>N/A</v>
      </c>
      <c r="X770" s="303" t="str">
        <f ca="1">IFERROR(BDP(MO.Ticker.Bloomberg&amp;" Equity","INTERVAL_HIGH","MARKET_DATA_OVERRIDE=PX_LAST","START_DATE_OVERRIDE",TEXT(INDEX(MO_SNA_FPStartDate,0,COLUMN()),"YYYYMMDD"),"END_DATE_OVERRIDE",TEXT(INDEX(MO_Common_QEndDate,0,COLUMN()),"YYYYMMDD")),"N/A")</f>
        <v>N/A</v>
      </c>
      <c r="Y770" s="303" t="str">
        <f ca="1">IFERROR(BDP(MO.Ticker.Bloomberg&amp;" Equity","INTERVAL_HIGH","MARKET_DATA_OVERRIDE=PX_LAST","START_DATE_OVERRIDE",TEXT(INDEX(MO_SNA_FPStartDate,0,COLUMN()),"YYYYMMDD"),"END_DATE_OVERRIDE",TEXT(INDEX(MO_Common_QEndDate,0,COLUMN()),"YYYYMMDD")),"N/A")</f>
        <v>N/A</v>
      </c>
      <c r="Z770" s="303" t="str">
        <f ca="1">IFERROR(BDP(MO.Ticker.Bloomberg&amp;" Equity","INTERVAL_HIGH","MARKET_DATA_OVERRIDE=PX_LAST","START_DATE_OVERRIDE",TEXT(INDEX(MO_SNA_FPStartDate,0,COLUMN()),"YYYYMMDD"),"END_DATE_OVERRIDE",TEXT(INDEX(MO_Common_QEndDate,0,COLUMN()),"YYYYMMDD")),"N/A")</f>
        <v>N/A</v>
      </c>
      <c r="AA770" s="303" t="str">
        <f ca="1">IFERROR(BDP(MO.Ticker.Bloomberg&amp;" Equity","INTERVAL_HIGH","MARKET_DATA_OVERRIDE=PX_LAST","START_DATE_OVERRIDE",TEXT(INDEX(MO_SNA_FPStartDate,0,COLUMN()),"YYYYMMDD"),"END_DATE_OVERRIDE",TEXT(INDEX(MO_Common_QEndDate,0,COLUMN()),"YYYYMMDD")),"N/A")</f>
        <v>N/A</v>
      </c>
      <c r="AB770" s="303" t="str">
        <f ca="1">IFERROR(BDP(MO.Ticker.Bloomberg&amp;" Equity","INTERVAL_HIGH","MARKET_DATA_OVERRIDE=PX_LAST","START_DATE_OVERRIDE",TEXT(INDEX(MO_SNA_FPStartDate,0,COLUMN()),"YYYYMMDD"),"END_DATE_OVERRIDE",TEXT(INDEX(MO_Common_QEndDate,0,COLUMN()),"YYYYMMDD")),"N/A")</f>
        <v>N/A</v>
      </c>
      <c r="AC770" s="303" t="str">
        <f ca="1">IFERROR(BDP(MO.Ticker.Bloomberg&amp;" Equity","INTERVAL_HIGH","MARKET_DATA_OVERRIDE=PX_LAST","START_DATE_OVERRIDE",TEXT(INDEX(MO_SNA_FPStartDate,0,COLUMN()),"YYYYMMDD"),"END_DATE_OVERRIDE",TEXT(INDEX(MO_Common_QEndDate,0,COLUMN()),"YYYYMMDD")),"N/A")</f>
        <v>N/A</v>
      </c>
      <c r="AD770" s="303" t="str">
        <f ca="1">IFERROR(BDP(MO.Ticker.Bloomberg&amp;" Equity","INTERVAL_HIGH","MARKET_DATA_OVERRIDE=PX_LAST","START_DATE_OVERRIDE",TEXT(INDEX(MO_SNA_FPStartDate,0,COLUMN()),"YYYYMMDD"),"END_DATE_OVERRIDE",TEXT(INDEX(MO_Common_QEndDate,0,COLUMN()),"YYYYMMDD")),"N/A")</f>
        <v>N/A</v>
      </c>
      <c r="AE770" s="303" t="str">
        <f ca="1">IFERROR(BDP(MO.Ticker.Bloomberg&amp;" Equity","INTERVAL_HIGH","MARKET_DATA_OVERRIDE=PX_LAST","START_DATE_OVERRIDE",TEXT(INDEX(MO_SNA_FPStartDate,0,COLUMN()),"YYYYMMDD"),"END_DATE_OVERRIDE",TEXT(INDEX(MO_Common_QEndDate,0,COLUMN()),"YYYYMMDD")),"N/A")</f>
        <v>N/A</v>
      </c>
      <c r="AF770" s="303" t="str">
        <f ca="1">IFERROR(BDP(MO.Ticker.Bloomberg&amp;" Equity","INTERVAL_HIGH","MARKET_DATA_OVERRIDE=PX_LAST","START_DATE_OVERRIDE",TEXT(INDEX(MO_SNA_FPStartDate,0,COLUMN()),"YYYYMMDD"),"END_DATE_OVERRIDE",TEXT(INDEX(MO_Common_QEndDate,0,COLUMN()),"YYYYMMDD")),"N/A")</f>
        <v>N/A</v>
      </c>
      <c r="AG770" s="303" t="str">
        <f ca="1">IFERROR(BDP(MO.Ticker.Bloomberg&amp;" Equity","INTERVAL_HIGH","MARKET_DATA_OVERRIDE=PX_LAST","START_DATE_OVERRIDE",TEXT(INDEX(MO_SNA_FPStartDate,0,COLUMN()),"YYYYMMDD"),"END_DATE_OVERRIDE",TEXT(INDEX(MO_Common_QEndDate,0,COLUMN()),"YYYYMMDD")),"N/A")</f>
        <v>N/A</v>
      </c>
      <c r="AH770" s="303" t="str">
        <f ca="1">IFERROR(BDP(MO.Ticker.Bloomberg&amp;" Equity","INTERVAL_HIGH","MARKET_DATA_OVERRIDE=PX_LAST","START_DATE_OVERRIDE",TEXT(INDEX(MO_SNA_FPStartDate,0,COLUMN()),"YYYYMMDD"),"END_DATE_OVERRIDE",TEXT(INDEX(MO_Common_QEndDate,0,COLUMN()),"YYYYMMDD")),"N/A")</f>
        <v>N/A</v>
      </c>
      <c r="AI770" s="303" t="str">
        <f ca="1">IFERROR(BDP(MO.Ticker.Bloomberg&amp;" Equity","INTERVAL_HIGH","MARKET_DATA_OVERRIDE=PX_LAST","START_DATE_OVERRIDE",TEXT(INDEX(MO_SNA_FPStartDate,0,COLUMN()),"YYYYMMDD"),"END_DATE_OVERRIDE",TEXT(INDEX(MO_Common_QEndDate,0,COLUMN()),"YYYYMMDD")),"N/A")</f>
        <v>N/A</v>
      </c>
      <c r="AJ770" s="303" t="str">
        <f ca="1">IFERROR(BDP(MO.Ticker.Bloomberg&amp;" Equity","INTERVAL_HIGH","MARKET_DATA_OVERRIDE=PX_LAST","START_DATE_OVERRIDE",TEXT(INDEX(MO_SNA_FPStartDate,0,COLUMN()),"YYYYMMDD"),"END_DATE_OVERRIDE",TEXT(INDEX(MO_Common_QEndDate,0,COLUMN()),"YYYYMMDD")),"N/A")</f>
        <v>N/A</v>
      </c>
      <c r="AK770" s="303" t="str">
        <f ca="1">IFERROR(BDP(MO.Ticker.Bloomberg&amp;" Equity","INTERVAL_HIGH","MARKET_DATA_OVERRIDE=PX_LAST","START_DATE_OVERRIDE",TEXT(INDEX(MO_SNA_FPStartDate,0,COLUMN()),"YYYYMMDD"),"END_DATE_OVERRIDE",TEXT(INDEX(MO_Common_QEndDate,0,COLUMN()),"YYYYMMDD")),"N/A")</f>
        <v>N/A</v>
      </c>
      <c r="AL770" s="303" t="str">
        <f ca="1">IFERROR(BDP(MO.Ticker.Bloomberg&amp;" Equity","INTERVAL_HIGH","MARKET_DATA_OVERRIDE=PX_LAST","START_DATE_OVERRIDE",TEXT(INDEX(MO_SNA_FPStartDate,0,COLUMN()),"YYYYMMDD"),"END_DATE_OVERRIDE",TEXT(INDEX(MO_Common_QEndDate,0,COLUMN()),"YYYYMMDD")),"N/A")</f>
        <v>N/A</v>
      </c>
      <c r="AM770" s="303" t="str">
        <f ca="1">IFERROR(BDP(MO.Ticker.Bloomberg&amp;" Equity","INTERVAL_HIGH","MARKET_DATA_OVERRIDE=PX_LAST","START_DATE_OVERRIDE",TEXT(INDEX(MO_SNA_FPStartDate,0,COLUMN()),"YYYYMMDD"),"END_DATE_OVERRIDE",TEXT(INDEX(MO_Common_QEndDate,0,COLUMN()),"YYYYMMDD")),"N/A")</f>
        <v>N/A</v>
      </c>
      <c r="AN770" s="303" t="str">
        <f ca="1">IFERROR(BDP(MO.Ticker.Bloomberg&amp;" Equity","INTERVAL_HIGH","MARKET_DATA_OVERRIDE=PX_LAST","START_DATE_OVERRIDE",TEXT(INDEX(MO_SNA_FPStartDate,0,COLUMN()),"YYYYMMDD"),"END_DATE_OVERRIDE",TEXT(INDEX(MO_Common_QEndDate,0,COLUMN()),"YYYYMMDD")),"N/A")</f>
        <v>N/A</v>
      </c>
      <c r="AO770" s="303" t="str">
        <f ca="1">IFERROR(BDP(MO.Ticker.Bloomberg&amp;" Equity","INTERVAL_HIGH","MARKET_DATA_OVERRIDE=PX_LAST","START_DATE_OVERRIDE",TEXT(INDEX(MO_SNA_FPStartDate,0,COLUMN()),"YYYYMMDD"),"END_DATE_OVERRIDE",TEXT(INDEX(MO_Common_QEndDate,0,COLUMN()),"YYYYMMDD")),"N/A")</f>
        <v>N/A</v>
      </c>
      <c r="AP770" s="303" t="str">
        <f ca="1">IFERROR(BDP(MO.Ticker.Bloomberg&amp;" Equity","INTERVAL_HIGH","MARKET_DATA_OVERRIDE=PX_LAST","START_DATE_OVERRIDE",TEXT(INDEX(MO_SNA_FPStartDate,0,COLUMN()),"YYYYMMDD"),"END_DATE_OVERRIDE",TEXT(INDEX(MO_Common_QEndDate,0,COLUMN()),"YYYYMMDD")),"N/A")</f>
        <v>N/A</v>
      </c>
      <c r="AQ770" s="303" t="str">
        <f ca="1">IFERROR(BDP(MO.Ticker.Bloomberg&amp;" Equity","INTERVAL_HIGH","MARKET_DATA_OVERRIDE=PX_LAST","START_DATE_OVERRIDE",TEXT(INDEX(MO_SNA_FPStartDate,0,COLUMN()),"YYYYMMDD"),"END_DATE_OVERRIDE",TEXT(INDEX(MO_Common_QEndDate,0,COLUMN()),"YYYYMMDD")),"N/A")</f>
        <v>N/A</v>
      </c>
      <c r="AR770" s="303" t="str">
        <f ca="1">IFERROR(BDP(MO.Ticker.Bloomberg&amp;" Equity","INTERVAL_HIGH","MARKET_DATA_OVERRIDE=PX_LAST","START_DATE_OVERRIDE",TEXT(INDEX(MO_SNA_FPStartDate,0,COLUMN()),"YYYYMMDD"),"END_DATE_OVERRIDE",TEXT(INDEX(MO_Common_QEndDate,0,COLUMN()),"YYYYMMDD")),"N/A")</f>
        <v>N/A</v>
      </c>
      <c r="AS770" s="303" t="str">
        <f ca="1">IFERROR(BDP(MO.Ticker.Bloomberg&amp;" Equity","INTERVAL_HIGH","MARKET_DATA_OVERRIDE=PX_LAST","START_DATE_OVERRIDE",TEXT(INDEX(MO_SNA_FPStartDate,0,COLUMN()),"YYYYMMDD"),"END_DATE_OVERRIDE",TEXT(INDEX(MO_Common_QEndDate,0,COLUMN()),"YYYYMMDD")),"N/A")</f>
        <v>N/A</v>
      </c>
      <c r="AT770" s="303" t="str">
        <f ca="1">IFERROR(BDP(MO.Ticker.Bloomberg&amp;" Equity","INTERVAL_HIGH","MARKET_DATA_OVERRIDE=PX_LAST","START_DATE_OVERRIDE",TEXT(INDEX(MO_SNA_FPStartDate,0,COLUMN()),"YYYYMMDD"),"END_DATE_OVERRIDE",TEXT(INDEX(MO_Common_QEndDate,0,COLUMN()),"YYYYMMDD")),"N/A")</f>
        <v>N/A</v>
      </c>
      <c r="AU770" s="303" t="str">
        <f ca="1">IFERROR(BDP(MO.Ticker.Bloomberg&amp;" Equity","INTERVAL_HIGH","MARKET_DATA_OVERRIDE=PX_LAST","START_DATE_OVERRIDE",TEXT(INDEX(MO_SNA_FPStartDate,0,COLUMN()),"YYYYMMDD"),"END_DATE_OVERRIDE",TEXT(INDEX(MO_Common_QEndDate,0,COLUMN()),"YYYYMMDD")),"N/A")</f>
        <v>N/A</v>
      </c>
      <c r="AV770" s="303" t="str">
        <f ca="1">IFERROR(BDP(MO.Ticker.Bloomberg&amp;" Equity","INTERVAL_HIGH","MARKET_DATA_OVERRIDE=PX_LAST","START_DATE_OVERRIDE",TEXT(INDEX(MO_SNA_FPStartDate,0,COLUMN()),"YYYYMMDD"),"END_DATE_OVERRIDE",TEXT(INDEX(MO_Common_QEndDate,0,COLUMN()),"YYYYMMDD")),"N/A")</f>
        <v>N/A</v>
      </c>
      <c r="AW770" s="604" t="str">
        <f ca="1">IFERROR(BDP(MO.Ticker.Bloomberg&amp;" Equity","INTERVAL_HIGH","MARKET_DATA_OVERRIDE=PX_LAST","START_DATE_OVERRIDE",TEXT(INDEX(MO_SNA_FPStartDate,0,COLUMN()),"YYYYMMDD"),"END_DATE_OVERRIDE",TEXT(INDEX(MO_Common_QEndDate,0,COLUMN()),"YYYYMMDD")),"N/A")</f>
        <v>N/A</v>
      </c>
      <c r="AX770" s="303" t="str">
        <f ca="1">IFERROR(BDP(MO.Ticker.Bloomberg&amp;" Equity","INTERVAL_HIGH","MARKET_DATA_OVERRIDE=PX_LAST","START_DATE_OVERRIDE",TEXT(INDEX(MO_SNA_FPStartDate,0,COLUMN()),"YYYYMMDD"),"END_DATE_OVERRIDE",TEXT(INDEX(MO_Common_QEndDate,0,COLUMN()),"YYYYMMDD")),"N/A")</f>
        <v>N/A</v>
      </c>
      <c r="AY770" s="303" t="str">
        <f ca="1">IFERROR(BDP(MO.Ticker.Bloomberg&amp;" Equity","INTERVAL_HIGH","MARKET_DATA_OVERRIDE=PX_LAST","START_DATE_OVERRIDE",TEXT(INDEX(MO_SNA_FPStartDate,0,COLUMN()),"YYYYMMDD"),"END_DATE_OVERRIDE",TEXT(INDEX(MO_Common_QEndDate,0,COLUMN()),"YYYYMMDD")),"N/A")</f>
        <v>N/A</v>
      </c>
      <c r="AZ770" s="303" t="str">
        <f ca="1">IFERROR(BDP(MO.Ticker.Bloomberg&amp;" Equity","INTERVAL_HIGH","MARKET_DATA_OVERRIDE=PX_LAST","START_DATE_OVERRIDE",TEXT(INDEX(MO_SNA_FPStartDate,0,COLUMN()),"YYYYMMDD"),"END_DATE_OVERRIDE",TEXT(INDEX(MO_Common_QEndDate,0,COLUMN()),"YYYYMMDD")),"N/A")</f>
        <v>N/A</v>
      </c>
      <c r="BA770" s="303" t="str">
        <f ca="1">IFERROR(BDP(MO.Ticker.Bloomberg&amp;" Equity","INTERVAL_HIGH","MARKET_DATA_OVERRIDE=PX_LAST","START_DATE_OVERRIDE",TEXT(INDEX(MO_SNA_FPStartDate,0,COLUMN()),"YYYYMMDD"),"END_DATE_OVERRIDE",TEXT(INDEX(MO_Common_QEndDate,0,COLUMN()),"YYYYMMDD")),"N/A")</f>
        <v>N/A</v>
      </c>
      <c r="BB770" s="303" t="str">
        <f ca="1">IFERROR(BDP(MO.Ticker.Bloomberg&amp;" Equity","INTERVAL_HIGH","MARKET_DATA_OVERRIDE=PX_LAST","START_DATE_OVERRIDE",TEXT(INDEX(MO_SNA_FPStartDate,0,COLUMN()),"YYYYMMDD"),"END_DATE_OVERRIDE",TEXT(INDEX(MO_Common_QEndDate,0,COLUMN()),"YYYYMMDD")),"N/A")</f>
        <v>N/A</v>
      </c>
      <c r="BC770" s="303" t="str">
        <f ca="1">IFERROR(BDP(MO.Ticker.Bloomberg&amp;" Equity","INTERVAL_HIGH","MARKET_DATA_OVERRIDE=PX_LAST","START_DATE_OVERRIDE",TEXT(INDEX(MO_SNA_FPStartDate,0,COLUMN()),"YYYYMMDD"),"END_DATE_OVERRIDE",TEXT(INDEX(MO_Common_QEndDate,0,COLUMN()),"YYYYMMDD")),"N/A")</f>
        <v>N/A</v>
      </c>
      <c r="BD770" s="303" t="str">
        <f ca="1">IFERROR(BDP(MO.Ticker.Bloomberg&amp;" Equity","INTERVAL_HIGH","MARKET_DATA_OVERRIDE=PX_LAST","START_DATE_OVERRIDE",TEXT(INDEX(MO_SNA_FPStartDate,0,COLUMN()),"YYYYMMDD"),"END_DATE_OVERRIDE",TEXT(INDEX(MO_Common_QEndDate,0,COLUMN()),"YYYYMMDD")),"N/A")</f>
        <v>N/A</v>
      </c>
      <c r="BE770" s="303" t="str">
        <f ca="1">IFERROR(BDP(MO.Ticker.Bloomberg&amp;" Equity","INTERVAL_HIGH","MARKET_DATA_OVERRIDE=PX_LAST","START_DATE_OVERRIDE",TEXT(INDEX(MO_SNA_FPStartDate,0,COLUMN()),"YYYYMMDD"),"END_DATE_OVERRIDE",TEXT(INDEX(MO_Common_QEndDate,0,COLUMN()),"YYYYMMDD")),"N/A")</f>
        <v>N/A</v>
      </c>
      <c r="BF770" s="303" t="str">
        <f ca="1">IFERROR(BDP(MO.Ticker.Bloomberg&amp;" Equity","INTERVAL_HIGH","MARKET_DATA_OVERRIDE=PX_LAST","START_DATE_OVERRIDE",TEXT(INDEX(MO_SNA_FPStartDate,0,COLUMN()),"YYYYMMDD"),"END_DATE_OVERRIDE",TEXT(INDEX(MO_Common_QEndDate,0,COLUMN()),"YYYYMMDD")),"N/A")</f>
        <v>N/A</v>
      </c>
      <c r="BG770" s="305" t="str">
        <f ca="1">IFERROR(BDP(MO.Ticker.Bloomberg&amp;" Equity","INTERVAL_HIGH","MARKET_DATA_OVERRIDE=PX_LAST","START_DATE_OVERRIDE",TEXT(INDEX(MO_SNA_FPStartDate,0,COLUMN()),"YYYYMMDD"),"END_DATE_OVERRIDE",TEXT(INDEX(MO_Common_QEndDate,0,COLUMN()),"YYYYMMDD")),"N/A")</f>
        <v>N/A</v>
      </c>
      <c r="BH770" s="277"/>
    </row>
    <row r="771" spans="1:60" customFormat="1" hidden="1" outlineLevel="1" x14ac:dyDescent="0.25">
      <c r="A771" s="306" t="s">
        <v>263</v>
      </c>
      <c r="B771" s="303"/>
      <c r="C771" s="304" t="str">
        <f ca="1">IFERROR(CIQHI(MO.Ticker.CapIQ,"IQ_LASTSALEPRICE",INDEX(MO_SNA_FPStartDate,0,COLUMN()),INDEX(MO_Common_QEndDate,0,COLUMN())),"N/A")</f>
        <v>N/A</v>
      </c>
      <c r="D771" s="304" t="str">
        <f ca="1">IFERROR(CIQHI(MO.Ticker.CapIQ,"IQ_LASTSALEPRICE",INDEX(MO_SNA_FPStartDate,0,COLUMN()),INDEX(MO_Common_QEndDate,0,COLUMN())),"N/A")</f>
        <v>N/A</v>
      </c>
      <c r="E771" s="303" t="str">
        <f ca="1">IFERROR(CIQHI(MO.Ticker.CapIQ,"IQ_LASTSALEPRICE",INDEX(MO_SNA_FPStartDate,0,COLUMN()),INDEX(MO_Common_QEndDate,0,COLUMN())),"N/A")</f>
        <v>N/A</v>
      </c>
      <c r="F771" s="303" t="str">
        <f ca="1">IFERROR(CIQHI(MO.Ticker.CapIQ,"IQ_LASTSALEPRICE",INDEX(MO_SNA_FPStartDate,0,COLUMN()),INDEX(MO_Common_QEndDate,0,COLUMN())),"N/A")</f>
        <v>N/A</v>
      </c>
      <c r="G771" s="303" t="str">
        <f ca="1">IFERROR(CIQHI(MO.Ticker.CapIQ,"IQ_LASTSALEPRICE",INDEX(MO_SNA_FPStartDate,0,COLUMN()),INDEX(MO_Common_QEndDate,0,COLUMN())),"N/A")</f>
        <v>N/A</v>
      </c>
      <c r="H771" s="303" t="str">
        <f ca="1">IFERROR(CIQHI(MO.Ticker.CapIQ,"IQ_LASTSALEPRICE",INDEX(MO_SNA_FPStartDate,0,COLUMN()),INDEX(MO_Common_QEndDate,0,COLUMN())),"N/A")</f>
        <v>N/A</v>
      </c>
      <c r="I771" s="303" t="str">
        <f ca="1">IFERROR(CIQHI(MO.Ticker.CapIQ,"IQ_LASTSALEPRICE",INDEX(MO_SNA_FPStartDate,0,COLUMN()),INDEX(MO_Common_QEndDate,0,COLUMN())),"N/A")</f>
        <v>N/A</v>
      </c>
      <c r="J771" s="303" t="str">
        <f ca="1">IFERROR(CIQHI(MO.Ticker.CapIQ,"IQ_LASTSALEPRICE",INDEX(MO_SNA_FPStartDate,0,COLUMN()),INDEX(MO_Common_QEndDate,0,COLUMN())),"N/A")</f>
        <v>N/A</v>
      </c>
      <c r="K771" s="303" t="str">
        <f ca="1">IFERROR(CIQHI(MO.Ticker.CapIQ,"IQ_LASTSALEPRICE",INDEX(MO_SNA_FPStartDate,0,COLUMN()),INDEX(MO_Common_QEndDate,0,COLUMN())),"N/A")</f>
        <v>N/A</v>
      </c>
      <c r="L771" s="303" t="str">
        <f ca="1">IFERROR(CIQHI(MO.Ticker.CapIQ,"IQ_LASTSALEPRICE",INDEX(MO_SNA_FPStartDate,0,COLUMN()),INDEX(MO_Common_QEndDate,0,COLUMN())),"N/A")</f>
        <v>N/A</v>
      </c>
      <c r="M771" s="303" t="str">
        <f ca="1">IFERROR(CIQHI(MO.Ticker.CapIQ,"IQ_LASTSALEPRICE",INDEX(MO_SNA_FPStartDate,0,COLUMN()),INDEX(MO_Common_QEndDate,0,COLUMN())),"N/A")</f>
        <v>N/A</v>
      </c>
      <c r="N771" s="303" t="str">
        <f ca="1">IFERROR(CIQHI(MO.Ticker.CapIQ,"IQ_LASTSALEPRICE",INDEX(MO_SNA_FPStartDate,0,COLUMN()),INDEX(MO_Common_QEndDate,0,COLUMN())),"N/A")</f>
        <v>N/A</v>
      </c>
      <c r="O771" s="303" t="str">
        <f ca="1">IFERROR(CIQHI(MO.Ticker.CapIQ,"IQ_LASTSALEPRICE",INDEX(MO_SNA_FPStartDate,0,COLUMN()),INDEX(MO_Common_QEndDate,0,COLUMN())),"N/A")</f>
        <v>N/A</v>
      </c>
      <c r="P771" s="303" t="str">
        <f ca="1">IFERROR(CIQHI(MO.Ticker.CapIQ,"IQ_LASTSALEPRICE",INDEX(MO_SNA_FPStartDate,0,COLUMN()),INDEX(MO_Common_QEndDate,0,COLUMN())),"N/A")</f>
        <v>N/A</v>
      </c>
      <c r="Q771" s="303" t="str">
        <f ca="1">IFERROR(CIQHI(MO.Ticker.CapIQ,"IQ_LASTSALEPRICE",INDEX(MO_SNA_FPStartDate,0,COLUMN()),INDEX(MO_Common_QEndDate,0,COLUMN())),"N/A")</f>
        <v>N/A</v>
      </c>
      <c r="R771" s="303" t="str">
        <f ca="1">IFERROR(CIQHI(MO.Ticker.CapIQ,"IQ_LASTSALEPRICE",INDEX(MO_SNA_FPStartDate,0,COLUMN()),INDEX(MO_Common_QEndDate,0,COLUMN())),"N/A")</f>
        <v>N/A</v>
      </c>
      <c r="S771" s="303" t="str">
        <f ca="1">IFERROR(CIQHI(MO.Ticker.CapIQ,"IQ_LASTSALEPRICE",INDEX(MO_SNA_FPStartDate,0,COLUMN()),INDEX(MO_Common_QEndDate,0,COLUMN())),"N/A")</f>
        <v>N/A</v>
      </c>
      <c r="T771" s="303" t="str">
        <f ca="1">IFERROR(CIQHI(MO.Ticker.CapIQ,"IQ_LASTSALEPRICE",INDEX(MO_SNA_FPStartDate,0,COLUMN()),INDEX(MO_Common_QEndDate,0,COLUMN())),"N/A")</f>
        <v>N/A</v>
      </c>
      <c r="U771" s="303" t="str">
        <f ca="1">IFERROR(CIQHI(MO.Ticker.CapIQ,"IQ_LASTSALEPRICE",INDEX(MO_SNA_FPStartDate,0,COLUMN()),INDEX(MO_Common_QEndDate,0,COLUMN())),"N/A")</f>
        <v>N/A</v>
      </c>
      <c r="V771" s="303" t="str">
        <f ca="1">IFERROR(CIQHI(MO.Ticker.CapIQ,"IQ_LASTSALEPRICE",INDEX(MO_SNA_FPStartDate,0,COLUMN()),INDEX(MO_Common_QEndDate,0,COLUMN())),"N/A")</f>
        <v>N/A</v>
      </c>
      <c r="W771" s="303" t="str">
        <f ca="1">IFERROR(CIQHI(MO.Ticker.CapIQ,"IQ_LASTSALEPRICE",INDEX(MO_SNA_FPStartDate,0,COLUMN()),INDEX(MO_Common_QEndDate,0,COLUMN())),"N/A")</f>
        <v>N/A</v>
      </c>
      <c r="X771" s="303" t="str">
        <f ca="1">IFERROR(CIQHI(MO.Ticker.CapIQ,"IQ_LASTSALEPRICE",INDEX(MO_SNA_FPStartDate,0,COLUMN()),INDEX(MO_Common_QEndDate,0,COLUMN())),"N/A")</f>
        <v>N/A</v>
      </c>
      <c r="Y771" s="303" t="str">
        <f ca="1">IFERROR(CIQHI(MO.Ticker.CapIQ,"IQ_LASTSALEPRICE",INDEX(MO_SNA_FPStartDate,0,COLUMN()),INDEX(MO_Common_QEndDate,0,COLUMN())),"N/A")</f>
        <v>N/A</v>
      </c>
      <c r="Z771" s="303" t="str">
        <f ca="1">IFERROR(CIQHI(MO.Ticker.CapIQ,"IQ_LASTSALEPRICE",INDEX(MO_SNA_FPStartDate,0,COLUMN()),INDEX(MO_Common_QEndDate,0,COLUMN())),"N/A")</f>
        <v>N/A</v>
      </c>
      <c r="AA771" s="303" t="str">
        <f ca="1">IFERROR(CIQHI(MO.Ticker.CapIQ,"IQ_LASTSALEPRICE",INDEX(MO_SNA_FPStartDate,0,COLUMN()),INDEX(MO_Common_QEndDate,0,COLUMN())),"N/A")</f>
        <v>N/A</v>
      </c>
      <c r="AB771" s="303" t="str">
        <f ca="1">IFERROR(CIQHI(MO.Ticker.CapIQ,"IQ_LASTSALEPRICE",INDEX(MO_SNA_FPStartDate,0,COLUMN()),INDEX(MO_Common_QEndDate,0,COLUMN())),"N/A")</f>
        <v>N/A</v>
      </c>
      <c r="AC771" s="303" t="str">
        <f ca="1">IFERROR(CIQHI(MO.Ticker.CapIQ,"IQ_LASTSALEPRICE",INDEX(MO_SNA_FPStartDate,0,COLUMN()),INDEX(MO_Common_QEndDate,0,COLUMN())),"N/A")</f>
        <v>N/A</v>
      </c>
      <c r="AD771" s="303" t="str">
        <f ca="1">IFERROR(CIQHI(MO.Ticker.CapIQ,"IQ_LASTSALEPRICE",INDEX(MO_SNA_FPStartDate,0,COLUMN()),INDEX(MO_Common_QEndDate,0,COLUMN())),"N/A")</f>
        <v>N/A</v>
      </c>
      <c r="AE771" s="303" t="str">
        <f ca="1">IFERROR(CIQHI(MO.Ticker.CapIQ,"IQ_LASTSALEPRICE",INDEX(MO_SNA_FPStartDate,0,COLUMN()),INDEX(MO_Common_QEndDate,0,COLUMN())),"N/A")</f>
        <v>N/A</v>
      </c>
      <c r="AF771" s="303" t="str">
        <f ca="1">IFERROR(CIQHI(MO.Ticker.CapIQ,"IQ_LASTSALEPRICE",INDEX(MO_SNA_FPStartDate,0,COLUMN()),INDEX(MO_Common_QEndDate,0,COLUMN())),"N/A")</f>
        <v>N/A</v>
      </c>
      <c r="AG771" s="303" t="str">
        <f ca="1">IFERROR(CIQHI(MO.Ticker.CapIQ,"IQ_LASTSALEPRICE",INDEX(MO_SNA_FPStartDate,0,COLUMN()),INDEX(MO_Common_QEndDate,0,COLUMN())),"N/A")</f>
        <v>N/A</v>
      </c>
      <c r="AH771" s="303" t="str">
        <f ca="1">IFERROR(CIQHI(MO.Ticker.CapIQ,"IQ_LASTSALEPRICE",INDEX(MO_SNA_FPStartDate,0,COLUMN()),INDEX(MO_Common_QEndDate,0,COLUMN())),"N/A")</f>
        <v>N/A</v>
      </c>
      <c r="AI771" s="303" t="str">
        <f ca="1">IFERROR(CIQHI(MO.Ticker.CapIQ,"IQ_LASTSALEPRICE",INDEX(MO_SNA_FPStartDate,0,COLUMN()),INDEX(MO_Common_QEndDate,0,COLUMN())),"N/A")</f>
        <v>N/A</v>
      </c>
      <c r="AJ771" s="303" t="str">
        <f ca="1">IFERROR(CIQHI(MO.Ticker.CapIQ,"IQ_LASTSALEPRICE",INDEX(MO_SNA_FPStartDate,0,COLUMN()),INDEX(MO_Common_QEndDate,0,COLUMN())),"N/A")</f>
        <v>N/A</v>
      </c>
      <c r="AK771" s="303" t="str">
        <f ca="1">IFERROR(CIQHI(MO.Ticker.CapIQ,"IQ_LASTSALEPRICE",INDEX(MO_SNA_FPStartDate,0,COLUMN()),INDEX(MO_Common_QEndDate,0,COLUMN())),"N/A")</f>
        <v>N/A</v>
      </c>
      <c r="AL771" s="303" t="str">
        <f ca="1">IFERROR(CIQHI(MO.Ticker.CapIQ,"IQ_LASTSALEPRICE",INDEX(MO_SNA_FPStartDate,0,COLUMN()),INDEX(MO_Common_QEndDate,0,COLUMN())),"N/A")</f>
        <v>N/A</v>
      </c>
      <c r="AM771" s="303" t="str">
        <f ca="1">IFERROR(CIQHI(MO.Ticker.CapIQ,"IQ_LASTSALEPRICE",INDEX(MO_SNA_FPStartDate,0,COLUMN()),INDEX(MO_Common_QEndDate,0,COLUMN())),"N/A")</f>
        <v>N/A</v>
      </c>
      <c r="AN771" s="303" t="str">
        <f ca="1">IFERROR(CIQHI(MO.Ticker.CapIQ,"IQ_LASTSALEPRICE",INDEX(MO_SNA_FPStartDate,0,COLUMN()),INDEX(MO_Common_QEndDate,0,COLUMN())),"N/A")</f>
        <v>N/A</v>
      </c>
      <c r="AO771" s="303" t="str">
        <f ca="1">IFERROR(CIQHI(MO.Ticker.CapIQ,"IQ_LASTSALEPRICE",INDEX(MO_SNA_FPStartDate,0,COLUMN()),INDEX(MO_Common_QEndDate,0,COLUMN())),"N/A")</f>
        <v>N/A</v>
      </c>
      <c r="AP771" s="303" t="str">
        <f ca="1">IFERROR(CIQHI(MO.Ticker.CapIQ,"IQ_LASTSALEPRICE",INDEX(MO_SNA_FPStartDate,0,COLUMN()),INDEX(MO_Common_QEndDate,0,COLUMN())),"N/A")</f>
        <v>N/A</v>
      </c>
      <c r="AQ771" s="303" t="str">
        <f ca="1">IFERROR(CIQHI(MO.Ticker.CapIQ,"IQ_LASTSALEPRICE",INDEX(MO_SNA_FPStartDate,0,COLUMN()),INDEX(MO_Common_QEndDate,0,COLUMN())),"N/A")</f>
        <v>N/A</v>
      </c>
      <c r="AR771" s="303" t="str">
        <f ca="1">IFERROR(CIQHI(MO.Ticker.CapIQ,"IQ_LASTSALEPRICE",INDEX(MO_SNA_FPStartDate,0,COLUMN()),INDEX(MO_Common_QEndDate,0,COLUMN())),"N/A")</f>
        <v>N/A</v>
      </c>
      <c r="AS771" s="303" t="str">
        <f ca="1">IFERROR(CIQHI(MO.Ticker.CapIQ,"IQ_LASTSALEPRICE",INDEX(MO_SNA_FPStartDate,0,COLUMN()),INDEX(MO_Common_QEndDate,0,COLUMN())),"N/A")</f>
        <v>N/A</v>
      </c>
      <c r="AT771" s="303" t="str">
        <f ca="1">IFERROR(CIQHI(MO.Ticker.CapIQ,"IQ_LASTSALEPRICE",INDEX(MO_SNA_FPStartDate,0,COLUMN()),INDEX(MO_Common_QEndDate,0,COLUMN())),"N/A")</f>
        <v>N/A</v>
      </c>
      <c r="AU771" s="303" t="str">
        <f ca="1">IFERROR(CIQHI(MO.Ticker.CapIQ,"IQ_LASTSALEPRICE",INDEX(MO_SNA_FPStartDate,0,COLUMN()),INDEX(MO_Common_QEndDate,0,COLUMN())),"N/A")</f>
        <v>N/A</v>
      </c>
      <c r="AV771" s="303" t="str">
        <f ca="1">IFERROR(CIQHI(MO.Ticker.CapIQ,"IQ_LASTSALEPRICE",INDEX(MO_SNA_FPStartDate,0,COLUMN()),INDEX(MO_Common_QEndDate,0,COLUMN())),"N/A")</f>
        <v>N/A</v>
      </c>
      <c r="AW771" s="604" t="str">
        <f ca="1">IFERROR(CIQHI(MO.Ticker.CapIQ,"IQ_LASTSALEPRICE",INDEX(MO_SNA_FPStartDate,0,COLUMN()),INDEX(MO_Common_QEndDate,0,COLUMN())),"N/A")</f>
        <v>N/A</v>
      </c>
      <c r="AX771" s="303" t="str">
        <f ca="1">IFERROR(CIQHI(MO.Ticker.CapIQ,"IQ_LASTSALEPRICE",INDEX(MO_SNA_FPStartDate,0,COLUMN()),INDEX(MO_Common_QEndDate,0,COLUMN())),"N/A")</f>
        <v>N/A</v>
      </c>
      <c r="AY771" s="303" t="str">
        <f ca="1">IFERROR(CIQHI(MO.Ticker.CapIQ,"IQ_LASTSALEPRICE",INDEX(MO_SNA_FPStartDate,0,COLUMN()),INDEX(MO_Common_QEndDate,0,COLUMN())),"N/A")</f>
        <v>N/A</v>
      </c>
      <c r="AZ771" s="303" t="str">
        <f ca="1">IFERROR(CIQHI(MO.Ticker.CapIQ,"IQ_LASTSALEPRICE",INDEX(MO_SNA_FPStartDate,0,COLUMN()),INDEX(MO_Common_QEndDate,0,COLUMN())),"N/A")</f>
        <v>N/A</v>
      </c>
      <c r="BA771" s="303" t="str">
        <f ca="1">IFERROR(CIQHI(MO.Ticker.CapIQ,"IQ_LASTSALEPRICE",INDEX(MO_SNA_FPStartDate,0,COLUMN()),INDEX(MO_Common_QEndDate,0,COLUMN())),"N/A")</f>
        <v>N/A</v>
      </c>
      <c r="BB771" s="303" t="str">
        <f ca="1">IFERROR(CIQHI(MO.Ticker.CapIQ,"IQ_LASTSALEPRICE",INDEX(MO_SNA_FPStartDate,0,COLUMN()),INDEX(MO_Common_QEndDate,0,COLUMN())),"N/A")</f>
        <v>N/A</v>
      </c>
      <c r="BC771" s="303" t="str">
        <f ca="1">IFERROR(CIQHI(MO.Ticker.CapIQ,"IQ_LASTSALEPRICE",INDEX(MO_SNA_FPStartDate,0,COLUMN()),INDEX(MO_Common_QEndDate,0,COLUMN())),"N/A")</f>
        <v>N/A</v>
      </c>
      <c r="BD771" s="303" t="str">
        <f ca="1">IFERROR(CIQHI(MO.Ticker.CapIQ,"IQ_LASTSALEPRICE",INDEX(MO_SNA_FPStartDate,0,COLUMN()),INDEX(MO_Common_QEndDate,0,COLUMN())),"N/A")</f>
        <v>N/A</v>
      </c>
      <c r="BE771" s="303" t="str">
        <f ca="1">IFERROR(CIQHI(MO.Ticker.CapIQ,"IQ_LASTSALEPRICE",INDEX(MO_SNA_FPStartDate,0,COLUMN()),INDEX(MO_Common_QEndDate,0,COLUMN())),"N/A")</f>
        <v>N/A</v>
      </c>
      <c r="BF771" s="303" t="str">
        <f ca="1">IFERROR(CIQHI(MO.Ticker.CapIQ,"IQ_LASTSALEPRICE",INDEX(MO_SNA_FPStartDate,0,COLUMN()),INDEX(MO_Common_QEndDate,0,COLUMN())),"N/A")</f>
        <v>N/A</v>
      </c>
      <c r="BG771" s="305" t="str">
        <f ca="1">IFERROR(CIQHI(MO.Ticker.CapIQ,"IQ_LASTSALEPRICE",INDEX(MO_SNA_FPStartDate,0,COLUMN()),INDEX(MO_Common_QEndDate,0,COLUMN())),"N/A")</f>
        <v>N/A</v>
      </c>
      <c r="BH771" s="277"/>
    </row>
    <row r="772" spans="1:60" customFormat="1" hidden="1" outlineLevel="1" x14ac:dyDescent="0.25">
      <c r="A772" s="306" t="s">
        <v>264</v>
      </c>
      <c r="B772" s="303"/>
      <c r="C772" s="304" t="str">
        <f ca="1">IFERROR(FDS(MO.Ticker.FactSet,"P_PRICE_HIGH"&amp;"("&amp;INDEX(MO_SNA_FPStartDate,0,COLUMN())&amp;","&amp;INDEX(MO_Common_QEndDate,0,COLUMN())&amp;",,,,""PRICE"",""CLOSE"")"),"N/A")</f>
        <v>N/A</v>
      </c>
      <c r="D772" s="304" t="str">
        <f ca="1">IFERROR(FDS(MO.Ticker.FactSet,"P_PRICE_HIGH"&amp;"("&amp;INDEX(MO_SNA_FPStartDate,0,COLUMN())&amp;","&amp;INDEX(MO_Common_QEndDate,0,COLUMN())&amp;",,,,""PRICE"",""CLOSE"")"),"N/A")</f>
        <v>N/A</v>
      </c>
      <c r="E772" s="303" t="str">
        <f ca="1">IFERROR(FDS(MO.Ticker.FactSet,"P_PRICE_HIGH"&amp;"("&amp;INDEX(MO_SNA_FPStartDate,0,COLUMN())&amp;","&amp;INDEX(MO_Common_QEndDate,0,COLUMN())&amp;",,,,""PRICE"",""CLOSE"")"),"N/A")</f>
        <v>N/A</v>
      </c>
      <c r="F772" s="303" t="str">
        <f ca="1">IFERROR(FDS(MO.Ticker.FactSet,"P_PRICE_HIGH"&amp;"("&amp;INDEX(MO_SNA_FPStartDate,0,COLUMN())&amp;","&amp;INDEX(MO_Common_QEndDate,0,COLUMN())&amp;",,,,""PRICE"",""CLOSE"")"),"N/A")</f>
        <v>N/A</v>
      </c>
      <c r="G772" s="303" t="str">
        <f ca="1">IFERROR(FDS(MO.Ticker.FactSet,"P_PRICE_HIGH"&amp;"("&amp;INDEX(MO_SNA_FPStartDate,0,COLUMN())&amp;","&amp;INDEX(MO_Common_QEndDate,0,COLUMN())&amp;",,,,""PRICE"",""CLOSE"")"),"N/A")</f>
        <v>N/A</v>
      </c>
      <c r="H772" s="303" t="str">
        <f ca="1">IFERROR(FDS(MO.Ticker.FactSet,"P_PRICE_HIGH"&amp;"("&amp;INDEX(MO_SNA_FPStartDate,0,COLUMN())&amp;","&amp;INDEX(MO_Common_QEndDate,0,COLUMN())&amp;",,,,""PRICE"",""CLOSE"")"),"N/A")</f>
        <v>N/A</v>
      </c>
      <c r="I772" s="303" t="str">
        <f ca="1">IFERROR(FDS(MO.Ticker.FactSet,"P_PRICE_HIGH"&amp;"("&amp;INDEX(MO_SNA_FPStartDate,0,COLUMN())&amp;","&amp;INDEX(MO_Common_QEndDate,0,COLUMN())&amp;",,,,""PRICE"",""CLOSE"")"),"N/A")</f>
        <v>N/A</v>
      </c>
      <c r="J772" s="303" t="str">
        <f ca="1">IFERROR(FDS(MO.Ticker.FactSet,"P_PRICE_HIGH"&amp;"("&amp;INDEX(MO_SNA_FPStartDate,0,COLUMN())&amp;","&amp;INDEX(MO_Common_QEndDate,0,COLUMN())&amp;",,,,""PRICE"",""CLOSE"")"),"N/A")</f>
        <v>N/A</v>
      </c>
      <c r="K772" s="303" t="str">
        <f ca="1">IFERROR(FDS(MO.Ticker.FactSet,"P_PRICE_HIGH"&amp;"("&amp;INDEX(MO_SNA_FPStartDate,0,COLUMN())&amp;","&amp;INDEX(MO_Common_QEndDate,0,COLUMN())&amp;",,,,""PRICE"",""CLOSE"")"),"N/A")</f>
        <v>N/A</v>
      </c>
      <c r="L772" s="303" t="str">
        <f ca="1">IFERROR(FDS(MO.Ticker.FactSet,"P_PRICE_HIGH"&amp;"("&amp;INDEX(MO_SNA_FPStartDate,0,COLUMN())&amp;","&amp;INDEX(MO_Common_QEndDate,0,COLUMN())&amp;",,,,""PRICE"",""CLOSE"")"),"N/A")</f>
        <v>N/A</v>
      </c>
      <c r="M772" s="303" t="str">
        <f ca="1">IFERROR(FDS(MO.Ticker.FactSet,"P_PRICE_HIGH"&amp;"("&amp;INDEX(MO_SNA_FPStartDate,0,COLUMN())&amp;","&amp;INDEX(MO_Common_QEndDate,0,COLUMN())&amp;",,,,""PRICE"",""CLOSE"")"),"N/A")</f>
        <v>N/A</v>
      </c>
      <c r="N772" s="303" t="str">
        <f ca="1">IFERROR(FDS(MO.Ticker.FactSet,"P_PRICE_HIGH"&amp;"("&amp;INDEX(MO_SNA_FPStartDate,0,COLUMN())&amp;","&amp;INDEX(MO_Common_QEndDate,0,COLUMN())&amp;",,,,""PRICE"",""CLOSE"")"),"N/A")</f>
        <v>N/A</v>
      </c>
      <c r="O772" s="303" t="str">
        <f ca="1">IFERROR(FDS(MO.Ticker.FactSet,"P_PRICE_HIGH"&amp;"("&amp;INDEX(MO_SNA_FPStartDate,0,COLUMN())&amp;","&amp;INDEX(MO_Common_QEndDate,0,COLUMN())&amp;",,,,""PRICE"",""CLOSE"")"),"N/A")</f>
        <v>N/A</v>
      </c>
      <c r="P772" s="303" t="str">
        <f ca="1">IFERROR(FDS(MO.Ticker.FactSet,"P_PRICE_HIGH"&amp;"("&amp;INDEX(MO_SNA_FPStartDate,0,COLUMN())&amp;","&amp;INDEX(MO_Common_QEndDate,0,COLUMN())&amp;",,,,""PRICE"",""CLOSE"")"),"N/A")</f>
        <v>N/A</v>
      </c>
      <c r="Q772" s="303" t="str">
        <f ca="1">IFERROR(FDS(MO.Ticker.FactSet,"P_PRICE_HIGH"&amp;"("&amp;INDEX(MO_SNA_FPStartDate,0,COLUMN())&amp;","&amp;INDEX(MO_Common_QEndDate,0,COLUMN())&amp;",,,,""PRICE"",""CLOSE"")"),"N/A")</f>
        <v>N/A</v>
      </c>
      <c r="R772" s="303" t="str">
        <f ca="1">IFERROR(FDS(MO.Ticker.FactSet,"P_PRICE_HIGH"&amp;"("&amp;INDEX(MO_SNA_FPStartDate,0,COLUMN())&amp;","&amp;INDEX(MO_Common_QEndDate,0,COLUMN())&amp;",,,,""PRICE"",""CLOSE"")"),"N/A")</f>
        <v>N/A</v>
      </c>
      <c r="S772" s="303" t="str">
        <f ca="1">IFERROR(FDS(MO.Ticker.FactSet,"P_PRICE_HIGH"&amp;"("&amp;INDEX(MO_SNA_FPStartDate,0,COLUMN())&amp;","&amp;INDEX(MO_Common_QEndDate,0,COLUMN())&amp;",,,,""PRICE"",""CLOSE"")"),"N/A")</f>
        <v>N/A</v>
      </c>
      <c r="T772" s="303" t="str">
        <f ca="1">IFERROR(FDS(MO.Ticker.FactSet,"P_PRICE_HIGH"&amp;"("&amp;INDEX(MO_SNA_FPStartDate,0,COLUMN())&amp;","&amp;INDEX(MO_Common_QEndDate,0,COLUMN())&amp;",,,,""PRICE"",""CLOSE"")"),"N/A")</f>
        <v>N/A</v>
      </c>
      <c r="U772" s="303" t="str">
        <f ca="1">IFERROR(FDS(MO.Ticker.FactSet,"P_PRICE_HIGH"&amp;"("&amp;INDEX(MO_SNA_FPStartDate,0,COLUMN())&amp;","&amp;INDEX(MO_Common_QEndDate,0,COLUMN())&amp;",,,,""PRICE"",""CLOSE"")"),"N/A")</f>
        <v>N/A</v>
      </c>
      <c r="V772" s="303" t="str">
        <f ca="1">IFERROR(FDS(MO.Ticker.FactSet,"P_PRICE_HIGH"&amp;"("&amp;INDEX(MO_SNA_FPStartDate,0,COLUMN())&amp;","&amp;INDEX(MO_Common_QEndDate,0,COLUMN())&amp;",,,,""PRICE"",""CLOSE"")"),"N/A")</f>
        <v>N/A</v>
      </c>
      <c r="W772" s="303" t="str">
        <f ca="1">IFERROR(FDS(MO.Ticker.FactSet,"P_PRICE_HIGH"&amp;"("&amp;INDEX(MO_SNA_FPStartDate,0,COLUMN())&amp;","&amp;INDEX(MO_Common_QEndDate,0,COLUMN())&amp;",,,,""PRICE"",""CLOSE"")"),"N/A")</f>
        <v>N/A</v>
      </c>
      <c r="X772" s="303" t="str">
        <f ca="1">IFERROR(FDS(MO.Ticker.FactSet,"P_PRICE_HIGH"&amp;"("&amp;INDEX(MO_SNA_FPStartDate,0,COLUMN())&amp;","&amp;INDEX(MO_Common_QEndDate,0,COLUMN())&amp;",,,,""PRICE"",""CLOSE"")"),"N/A")</f>
        <v>N/A</v>
      </c>
      <c r="Y772" s="303" t="str">
        <f ca="1">IFERROR(FDS(MO.Ticker.FactSet,"P_PRICE_HIGH"&amp;"("&amp;INDEX(MO_SNA_FPStartDate,0,COLUMN())&amp;","&amp;INDEX(MO_Common_QEndDate,0,COLUMN())&amp;",,,,""PRICE"",""CLOSE"")"),"N/A")</f>
        <v>N/A</v>
      </c>
      <c r="Z772" s="303" t="str">
        <f ca="1">IFERROR(FDS(MO.Ticker.FactSet,"P_PRICE_HIGH"&amp;"("&amp;INDEX(MO_SNA_FPStartDate,0,COLUMN())&amp;","&amp;INDEX(MO_Common_QEndDate,0,COLUMN())&amp;",,,,""PRICE"",""CLOSE"")"),"N/A")</f>
        <v>N/A</v>
      </c>
      <c r="AA772" s="303" t="str">
        <f ca="1">IFERROR(FDS(MO.Ticker.FactSet,"P_PRICE_HIGH"&amp;"("&amp;INDEX(MO_SNA_FPStartDate,0,COLUMN())&amp;","&amp;INDEX(MO_Common_QEndDate,0,COLUMN())&amp;",,,,""PRICE"",""CLOSE"")"),"N/A")</f>
        <v>N/A</v>
      </c>
      <c r="AB772" s="303" t="str">
        <f ca="1">IFERROR(FDS(MO.Ticker.FactSet,"P_PRICE_HIGH"&amp;"("&amp;INDEX(MO_SNA_FPStartDate,0,COLUMN())&amp;","&amp;INDEX(MO_Common_QEndDate,0,COLUMN())&amp;",,,,""PRICE"",""CLOSE"")"),"N/A")</f>
        <v>N/A</v>
      </c>
      <c r="AC772" s="303" t="str">
        <f ca="1">IFERROR(FDS(MO.Ticker.FactSet,"P_PRICE_HIGH"&amp;"("&amp;INDEX(MO_SNA_FPStartDate,0,COLUMN())&amp;","&amp;INDEX(MO_Common_QEndDate,0,COLUMN())&amp;",,,,""PRICE"",""CLOSE"")"),"N/A")</f>
        <v>N/A</v>
      </c>
      <c r="AD772" s="303" t="str">
        <f ca="1">IFERROR(FDS(MO.Ticker.FactSet,"P_PRICE_HIGH"&amp;"("&amp;INDEX(MO_SNA_FPStartDate,0,COLUMN())&amp;","&amp;INDEX(MO_Common_QEndDate,0,COLUMN())&amp;",,,,""PRICE"",""CLOSE"")"),"N/A")</f>
        <v>N/A</v>
      </c>
      <c r="AE772" s="303" t="str">
        <f ca="1">IFERROR(FDS(MO.Ticker.FactSet,"P_PRICE_HIGH"&amp;"("&amp;INDEX(MO_SNA_FPStartDate,0,COLUMN())&amp;","&amp;INDEX(MO_Common_QEndDate,0,COLUMN())&amp;",,,,""PRICE"",""CLOSE"")"),"N/A")</f>
        <v>N/A</v>
      </c>
      <c r="AF772" s="303" t="str">
        <f ca="1">IFERROR(FDS(MO.Ticker.FactSet,"P_PRICE_HIGH"&amp;"("&amp;INDEX(MO_SNA_FPStartDate,0,COLUMN())&amp;","&amp;INDEX(MO_Common_QEndDate,0,COLUMN())&amp;",,,,""PRICE"",""CLOSE"")"),"N/A")</f>
        <v>N/A</v>
      </c>
      <c r="AG772" s="303" t="str">
        <f ca="1">IFERROR(FDS(MO.Ticker.FactSet,"P_PRICE_HIGH"&amp;"("&amp;INDEX(MO_SNA_FPStartDate,0,COLUMN())&amp;","&amp;INDEX(MO_Common_QEndDate,0,COLUMN())&amp;",,,,""PRICE"",""CLOSE"")"),"N/A")</f>
        <v>N/A</v>
      </c>
      <c r="AH772" s="303" t="str">
        <f ca="1">IFERROR(FDS(MO.Ticker.FactSet,"P_PRICE_HIGH"&amp;"("&amp;INDEX(MO_SNA_FPStartDate,0,COLUMN())&amp;","&amp;INDEX(MO_Common_QEndDate,0,COLUMN())&amp;",,,,""PRICE"",""CLOSE"")"),"N/A")</f>
        <v>N/A</v>
      </c>
      <c r="AI772" s="303" t="str">
        <f ca="1">IFERROR(FDS(MO.Ticker.FactSet,"P_PRICE_HIGH"&amp;"("&amp;INDEX(MO_SNA_FPStartDate,0,COLUMN())&amp;","&amp;INDEX(MO_Common_QEndDate,0,COLUMN())&amp;",,,,""PRICE"",""CLOSE"")"),"N/A")</f>
        <v>N/A</v>
      </c>
      <c r="AJ772" s="303" t="str">
        <f ca="1">IFERROR(FDS(MO.Ticker.FactSet,"P_PRICE_HIGH"&amp;"("&amp;INDEX(MO_SNA_FPStartDate,0,COLUMN())&amp;","&amp;INDEX(MO_Common_QEndDate,0,COLUMN())&amp;",,,,""PRICE"",""CLOSE"")"),"N/A")</f>
        <v>N/A</v>
      </c>
      <c r="AK772" s="303" t="str">
        <f ca="1">IFERROR(FDS(MO.Ticker.FactSet,"P_PRICE_HIGH"&amp;"("&amp;INDEX(MO_SNA_FPStartDate,0,COLUMN())&amp;","&amp;INDEX(MO_Common_QEndDate,0,COLUMN())&amp;",,,,""PRICE"",""CLOSE"")"),"N/A")</f>
        <v>N/A</v>
      </c>
      <c r="AL772" s="303" t="str">
        <f ca="1">IFERROR(FDS(MO.Ticker.FactSet,"P_PRICE_HIGH"&amp;"("&amp;INDEX(MO_SNA_FPStartDate,0,COLUMN())&amp;","&amp;INDEX(MO_Common_QEndDate,0,COLUMN())&amp;",,,,""PRICE"",""CLOSE"")"),"N/A")</f>
        <v>N/A</v>
      </c>
      <c r="AM772" s="303" t="str">
        <f ca="1">IFERROR(FDS(MO.Ticker.FactSet,"P_PRICE_HIGH"&amp;"("&amp;INDEX(MO_SNA_FPStartDate,0,COLUMN())&amp;","&amp;INDEX(MO_Common_QEndDate,0,COLUMN())&amp;",,,,""PRICE"",""CLOSE"")"),"N/A")</f>
        <v>N/A</v>
      </c>
      <c r="AN772" s="303" t="str">
        <f ca="1">IFERROR(FDS(MO.Ticker.FactSet,"P_PRICE_HIGH"&amp;"("&amp;INDEX(MO_SNA_FPStartDate,0,COLUMN())&amp;","&amp;INDEX(MO_Common_QEndDate,0,COLUMN())&amp;",,,,""PRICE"",""CLOSE"")"),"N/A")</f>
        <v>N/A</v>
      </c>
      <c r="AO772" s="303" t="str">
        <f ca="1">IFERROR(FDS(MO.Ticker.FactSet,"P_PRICE_HIGH"&amp;"("&amp;INDEX(MO_SNA_FPStartDate,0,COLUMN())&amp;","&amp;INDEX(MO_Common_QEndDate,0,COLUMN())&amp;",,,,""PRICE"",""CLOSE"")"),"N/A")</f>
        <v>N/A</v>
      </c>
      <c r="AP772" s="303" t="str">
        <f ca="1">IFERROR(FDS(MO.Ticker.FactSet,"P_PRICE_HIGH"&amp;"("&amp;INDEX(MO_SNA_FPStartDate,0,COLUMN())&amp;","&amp;INDEX(MO_Common_QEndDate,0,COLUMN())&amp;",,,,""PRICE"",""CLOSE"")"),"N/A")</f>
        <v>N/A</v>
      </c>
      <c r="AQ772" s="303" t="str">
        <f ca="1">IFERROR(FDS(MO.Ticker.FactSet,"P_PRICE_HIGH"&amp;"("&amp;INDEX(MO_SNA_FPStartDate,0,COLUMN())&amp;","&amp;INDEX(MO_Common_QEndDate,0,COLUMN())&amp;",,,,""PRICE"",""CLOSE"")"),"N/A")</f>
        <v>N/A</v>
      </c>
      <c r="AR772" s="303" t="str">
        <f ca="1">IFERROR(FDS(MO.Ticker.FactSet,"P_PRICE_HIGH"&amp;"("&amp;INDEX(MO_SNA_FPStartDate,0,COLUMN())&amp;","&amp;INDEX(MO_Common_QEndDate,0,COLUMN())&amp;",,,,""PRICE"",""CLOSE"")"),"N/A")</f>
        <v>N/A</v>
      </c>
      <c r="AS772" s="303" t="str">
        <f ca="1">IFERROR(FDS(MO.Ticker.FactSet,"P_PRICE_HIGH"&amp;"("&amp;INDEX(MO_SNA_FPStartDate,0,COLUMN())&amp;","&amp;INDEX(MO_Common_QEndDate,0,COLUMN())&amp;",,,,""PRICE"",""CLOSE"")"),"N/A")</f>
        <v>N/A</v>
      </c>
      <c r="AT772" s="303" t="str">
        <f ca="1">IFERROR(FDS(MO.Ticker.FactSet,"P_PRICE_HIGH"&amp;"("&amp;INDEX(MO_SNA_FPStartDate,0,COLUMN())&amp;","&amp;INDEX(MO_Common_QEndDate,0,COLUMN())&amp;",,,,""PRICE"",""CLOSE"")"),"N/A")</f>
        <v>N/A</v>
      </c>
      <c r="AU772" s="303" t="str">
        <f ca="1">IFERROR(FDS(MO.Ticker.FactSet,"P_PRICE_HIGH"&amp;"("&amp;INDEX(MO_SNA_FPStartDate,0,COLUMN())&amp;","&amp;INDEX(MO_Common_QEndDate,0,COLUMN())&amp;",,,,""PRICE"",""CLOSE"")"),"N/A")</f>
        <v>N/A</v>
      </c>
      <c r="AV772" s="303" t="str">
        <f ca="1">IFERROR(FDS(MO.Ticker.FactSet,"P_PRICE_HIGH"&amp;"("&amp;INDEX(MO_SNA_FPStartDate,0,COLUMN())&amp;","&amp;INDEX(MO_Common_QEndDate,0,COLUMN())&amp;",,,,""PRICE"",""CLOSE"")"),"N/A")</f>
        <v>N/A</v>
      </c>
      <c r="AW772" s="604" t="str">
        <f ca="1">IFERROR(FDS(MO.Ticker.FactSet,"P_PRICE_HIGH"&amp;"("&amp;INDEX(MO_SNA_FPStartDate,0,COLUMN())&amp;","&amp;INDEX(MO_Common_QEndDate,0,COLUMN())&amp;",,,,""PRICE"",""CLOSE"")"),"N/A")</f>
        <v>N/A</v>
      </c>
      <c r="AX772" s="303" t="str">
        <f ca="1">IFERROR(FDS(MO.Ticker.FactSet,"P_PRICE_HIGH"&amp;"("&amp;INDEX(MO_SNA_FPStartDate,0,COLUMN())&amp;","&amp;INDEX(MO_Common_QEndDate,0,COLUMN())&amp;",,,,""PRICE"",""CLOSE"")"),"N/A")</f>
        <v>N/A</v>
      </c>
      <c r="AY772" s="303" t="str">
        <f ca="1">IFERROR(FDS(MO.Ticker.FactSet,"P_PRICE_HIGH"&amp;"("&amp;INDEX(MO_SNA_FPStartDate,0,COLUMN())&amp;","&amp;INDEX(MO_Common_QEndDate,0,COLUMN())&amp;",,,,""PRICE"",""CLOSE"")"),"N/A")</f>
        <v>N/A</v>
      </c>
      <c r="AZ772" s="303" t="str">
        <f ca="1">IFERROR(FDS(MO.Ticker.FactSet,"P_PRICE_HIGH"&amp;"("&amp;INDEX(MO_SNA_FPStartDate,0,COLUMN())&amp;","&amp;INDEX(MO_Common_QEndDate,0,COLUMN())&amp;",,,,""PRICE"",""CLOSE"")"),"N/A")</f>
        <v>N/A</v>
      </c>
      <c r="BA772" s="303" t="str">
        <f ca="1">IFERROR(FDS(MO.Ticker.FactSet,"P_PRICE_HIGH"&amp;"("&amp;INDEX(MO_SNA_FPStartDate,0,COLUMN())&amp;","&amp;INDEX(MO_Common_QEndDate,0,COLUMN())&amp;",,,,""PRICE"",""CLOSE"")"),"N/A")</f>
        <v>N/A</v>
      </c>
      <c r="BB772" s="303" t="str">
        <f ca="1">IFERROR(FDS(MO.Ticker.FactSet,"P_PRICE_HIGH"&amp;"("&amp;INDEX(MO_SNA_FPStartDate,0,COLUMN())&amp;","&amp;INDEX(MO_Common_QEndDate,0,COLUMN())&amp;",,,,""PRICE"",""CLOSE"")"),"N/A")</f>
        <v>N/A</v>
      </c>
      <c r="BC772" s="303" t="str">
        <f ca="1">IFERROR(FDS(MO.Ticker.FactSet,"P_PRICE_HIGH"&amp;"("&amp;INDEX(MO_SNA_FPStartDate,0,COLUMN())&amp;","&amp;INDEX(MO_Common_QEndDate,0,COLUMN())&amp;",,,,""PRICE"",""CLOSE"")"),"N/A")</f>
        <v>N/A</v>
      </c>
      <c r="BD772" s="303" t="str">
        <f ca="1">IFERROR(FDS(MO.Ticker.FactSet,"P_PRICE_HIGH"&amp;"("&amp;INDEX(MO_SNA_FPStartDate,0,COLUMN())&amp;","&amp;INDEX(MO_Common_QEndDate,0,COLUMN())&amp;",,,,""PRICE"",""CLOSE"")"),"N/A")</f>
        <v>N/A</v>
      </c>
      <c r="BE772" s="303" t="str">
        <f ca="1">IFERROR(FDS(MO.Ticker.FactSet,"P_PRICE_HIGH"&amp;"("&amp;INDEX(MO_SNA_FPStartDate,0,COLUMN())&amp;","&amp;INDEX(MO_Common_QEndDate,0,COLUMN())&amp;",,,,""PRICE"",""CLOSE"")"),"N/A")</f>
        <v>N/A</v>
      </c>
      <c r="BF772" s="303" t="str">
        <f ca="1">IFERROR(FDS(MO.Ticker.FactSet,"P_PRICE_HIGH"&amp;"("&amp;INDEX(MO_SNA_FPStartDate,0,COLUMN())&amp;","&amp;INDEX(MO_Common_QEndDate,0,COLUMN())&amp;",,,,""PRICE"",""CLOSE"")"),"N/A")</f>
        <v>N/A</v>
      </c>
      <c r="BG772" s="305" t="str">
        <f ca="1">IFERROR(FDS(MO.Ticker.FactSet,"P_PRICE_HIGH"&amp;"("&amp;INDEX(MO_SNA_FPStartDate,0,COLUMN())&amp;","&amp;INDEX(MO_Common_QEndDate,0,COLUMN())&amp;",,,,""PRICE"",""CLOSE"")"),"N/A")</f>
        <v>N/A</v>
      </c>
      <c r="BH772" s="277"/>
    </row>
    <row r="773" spans="1:60" customFormat="1" hidden="1" outlineLevel="1" x14ac:dyDescent="0.25">
      <c r="A773" s="306" t="s">
        <v>569</v>
      </c>
      <c r="B773" s="303"/>
      <c r="C773" s="304" t="str">
        <f ca="1">IFERROR(_xll.TR(MO.Ticker.Thomson,"MAX(TR.Pricehigh)","sdate:#1 edate:#2",,INDEX(MO_SNA_FPStartDate,0,COLUMN()),INDEX(MO_Common_QEndDate,0,COLUMN())),"N/A")</f>
        <v>N/A</v>
      </c>
      <c r="D773" s="304" t="str">
        <f ca="1">IFERROR(_xll.TR(MO.Ticker.Thomson,"MAX(TR.Pricehigh)","sdate:#1 edate:#2",,INDEX(MO_SNA_FPStartDate,0,COLUMN()),INDEX(MO_Common_QEndDate,0,COLUMN())),"N/A")</f>
        <v>N/A</v>
      </c>
      <c r="E773" s="303" t="str">
        <f ca="1">IFERROR(_xll.TR(MO.Ticker.Thomson,"MAX(TR.Pricehigh)","sdate:#1 edate:#2",,INDEX(MO_SNA_FPStartDate,0,COLUMN()),INDEX(MO_Common_QEndDate,0,COLUMN())),"N/A")</f>
        <v>N/A</v>
      </c>
      <c r="F773" s="303" t="str">
        <f ca="1">IFERROR(_xll.TR(MO.Ticker.Thomson,"MAX(TR.Pricehigh)","sdate:#1 edate:#2",,INDEX(MO_SNA_FPStartDate,0,COLUMN()),INDEX(MO_Common_QEndDate,0,COLUMN())),"N/A")</f>
        <v>N/A</v>
      </c>
      <c r="G773" s="303" t="str">
        <f ca="1">IFERROR(_xll.TR(MO.Ticker.Thomson,"MAX(TR.Pricehigh)","sdate:#1 edate:#2",,INDEX(MO_SNA_FPStartDate,0,COLUMN()),INDEX(MO_Common_QEndDate,0,COLUMN())),"N/A")</f>
        <v>N/A</v>
      </c>
      <c r="H773" s="303" t="str">
        <f ca="1">IFERROR(_xll.TR(MO.Ticker.Thomson,"MAX(TR.Pricehigh)","sdate:#1 edate:#2",,INDEX(MO_SNA_FPStartDate,0,COLUMN()),INDEX(MO_Common_QEndDate,0,COLUMN())),"N/A")</f>
        <v>N/A</v>
      </c>
      <c r="I773" s="303" t="str">
        <f ca="1">IFERROR(_xll.TR(MO.Ticker.Thomson,"MAX(TR.Pricehigh)","sdate:#1 edate:#2",,INDEX(MO_SNA_FPStartDate,0,COLUMN()),INDEX(MO_Common_QEndDate,0,COLUMN())),"N/A")</f>
        <v>N/A</v>
      </c>
      <c r="J773" s="303" t="str">
        <f ca="1">IFERROR(_xll.TR(MO.Ticker.Thomson,"MAX(TR.Pricehigh)","sdate:#1 edate:#2",,INDEX(MO_SNA_FPStartDate,0,COLUMN()),INDEX(MO_Common_QEndDate,0,COLUMN())),"N/A")</f>
        <v>N/A</v>
      </c>
      <c r="K773" s="303" t="str">
        <f ca="1">IFERROR(_xll.TR(MO.Ticker.Thomson,"MAX(TR.Pricehigh)","sdate:#1 edate:#2",,INDEX(MO_SNA_FPStartDate,0,COLUMN()),INDEX(MO_Common_QEndDate,0,COLUMN())),"N/A")</f>
        <v>N/A</v>
      </c>
      <c r="L773" s="303" t="str">
        <f ca="1">IFERROR(_xll.TR(MO.Ticker.Thomson,"MAX(TR.Pricehigh)","sdate:#1 edate:#2",,INDEX(MO_SNA_FPStartDate,0,COLUMN()),INDEX(MO_Common_QEndDate,0,COLUMN())),"N/A")</f>
        <v>N/A</v>
      </c>
      <c r="M773" s="303" t="str">
        <f ca="1">IFERROR(_xll.TR(MO.Ticker.Thomson,"MAX(TR.Pricehigh)","sdate:#1 edate:#2",,INDEX(MO_SNA_FPStartDate,0,COLUMN()),INDEX(MO_Common_QEndDate,0,COLUMN())),"N/A")</f>
        <v>N/A</v>
      </c>
      <c r="N773" s="303" t="str">
        <f ca="1">IFERROR(_xll.TR(MO.Ticker.Thomson,"MAX(TR.Pricehigh)","sdate:#1 edate:#2",,INDEX(MO_SNA_FPStartDate,0,COLUMN()),INDEX(MO_Common_QEndDate,0,COLUMN())),"N/A")</f>
        <v>N/A</v>
      </c>
      <c r="O773" s="303" t="str">
        <f ca="1">IFERROR(_xll.TR(MO.Ticker.Thomson,"MAX(TR.Pricehigh)","sdate:#1 edate:#2",,INDEX(MO_SNA_FPStartDate,0,COLUMN()),INDEX(MO_Common_QEndDate,0,COLUMN())),"N/A")</f>
        <v>N/A</v>
      </c>
      <c r="P773" s="303" t="str">
        <f ca="1">IFERROR(_xll.TR(MO.Ticker.Thomson,"MAX(TR.Pricehigh)","sdate:#1 edate:#2",,INDEX(MO_SNA_FPStartDate,0,COLUMN()),INDEX(MO_Common_QEndDate,0,COLUMN())),"N/A")</f>
        <v>N/A</v>
      </c>
      <c r="Q773" s="303" t="str">
        <f ca="1">IFERROR(_xll.TR(MO.Ticker.Thomson,"MAX(TR.Pricehigh)","sdate:#1 edate:#2",,INDEX(MO_SNA_FPStartDate,0,COLUMN()),INDEX(MO_Common_QEndDate,0,COLUMN())),"N/A")</f>
        <v>N/A</v>
      </c>
      <c r="R773" s="303" t="str">
        <f ca="1">IFERROR(_xll.TR(MO.Ticker.Thomson,"MAX(TR.Pricehigh)","sdate:#1 edate:#2",,INDEX(MO_SNA_FPStartDate,0,COLUMN()),INDEX(MO_Common_QEndDate,0,COLUMN())),"N/A")</f>
        <v>N/A</v>
      </c>
      <c r="S773" s="303" t="str">
        <f ca="1">IFERROR(_xll.TR(MO.Ticker.Thomson,"MAX(TR.Pricehigh)","sdate:#1 edate:#2",,INDEX(MO_SNA_FPStartDate,0,COLUMN()),INDEX(MO_Common_QEndDate,0,COLUMN())),"N/A")</f>
        <v>N/A</v>
      </c>
      <c r="T773" s="303" t="str">
        <f ca="1">IFERROR(_xll.TR(MO.Ticker.Thomson,"MAX(TR.Pricehigh)","sdate:#1 edate:#2",,INDEX(MO_SNA_FPStartDate,0,COLUMN()),INDEX(MO_Common_QEndDate,0,COLUMN())),"N/A")</f>
        <v>N/A</v>
      </c>
      <c r="U773" s="303" t="str">
        <f ca="1">IFERROR(_xll.TR(MO.Ticker.Thomson,"MAX(TR.Pricehigh)","sdate:#1 edate:#2",,INDEX(MO_SNA_FPStartDate,0,COLUMN()),INDEX(MO_Common_QEndDate,0,COLUMN())),"N/A")</f>
        <v>N/A</v>
      </c>
      <c r="V773" s="303" t="str">
        <f ca="1">IFERROR(_xll.TR(MO.Ticker.Thomson,"MAX(TR.Pricehigh)","sdate:#1 edate:#2",,INDEX(MO_SNA_FPStartDate,0,COLUMN()),INDEX(MO_Common_QEndDate,0,COLUMN())),"N/A")</f>
        <v>N/A</v>
      </c>
      <c r="W773" s="303" t="str">
        <f ca="1">IFERROR(_xll.TR(MO.Ticker.Thomson,"MAX(TR.Pricehigh)","sdate:#1 edate:#2",,INDEX(MO_SNA_FPStartDate,0,COLUMN()),INDEX(MO_Common_QEndDate,0,COLUMN())),"N/A")</f>
        <v>N/A</v>
      </c>
      <c r="X773" s="303" t="str">
        <f ca="1">IFERROR(_xll.TR(MO.Ticker.Thomson,"MAX(TR.Pricehigh)","sdate:#1 edate:#2",,INDEX(MO_SNA_FPStartDate,0,COLUMN()),INDEX(MO_Common_QEndDate,0,COLUMN())),"N/A")</f>
        <v>N/A</v>
      </c>
      <c r="Y773" s="303" t="str">
        <f ca="1">IFERROR(_xll.TR(MO.Ticker.Thomson,"MAX(TR.Pricehigh)","sdate:#1 edate:#2",,INDEX(MO_SNA_FPStartDate,0,COLUMN()),INDEX(MO_Common_QEndDate,0,COLUMN())),"N/A")</f>
        <v>N/A</v>
      </c>
      <c r="Z773" s="303" t="str">
        <f ca="1">IFERROR(_xll.TR(MO.Ticker.Thomson,"MAX(TR.Pricehigh)","sdate:#1 edate:#2",,INDEX(MO_SNA_FPStartDate,0,COLUMN()),INDEX(MO_Common_QEndDate,0,COLUMN())),"N/A")</f>
        <v>N/A</v>
      </c>
      <c r="AA773" s="303" t="str">
        <f ca="1">IFERROR(_xll.TR(MO.Ticker.Thomson,"MAX(TR.Pricehigh)","sdate:#1 edate:#2",,INDEX(MO_SNA_FPStartDate,0,COLUMN()),INDEX(MO_Common_QEndDate,0,COLUMN())),"N/A")</f>
        <v>N/A</v>
      </c>
      <c r="AB773" s="303" t="str">
        <f ca="1">IFERROR(_xll.TR(MO.Ticker.Thomson,"MAX(TR.Pricehigh)","sdate:#1 edate:#2",,INDEX(MO_SNA_FPStartDate,0,COLUMN()),INDEX(MO_Common_QEndDate,0,COLUMN())),"N/A")</f>
        <v>N/A</v>
      </c>
      <c r="AC773" s="303" t="str">
        <f ca="1">IFERROR(_xll.TR(MO.Ticker.Thomson,"MAX(TR.Pricehigh)","sdate:#1 edate:#2",,INDEX(MO_SNA_FPStartDate,0,COLUMN()),INDEX(MO_Common_QEndDate,0,COLUMN())),"N/A")</f>
        <v>N/A</v>
      </c>
      <c r="AD773" s="303" t="str">
        <f ca="1">IFERROR(_xll.TR(MO.Ticker.Thomson,"MAX(TR.Pricehigh)","sdate:#1 edate:#2",,INDEX(MO_SNA_FPStartDate,0,COLUMN()),INDEX(MO_Common_QEndDate,0,COLUMN())),"N/A")</f>
        <v>N/A</v>
      </c>
      <c r="AE773" s="303" t="str">
        <f ca="1">IFERROR(_xll.TR(MO.Ticker.Thomson,"MAX(TR.Pricehigh)","sdate:#1 edate:#2",,INDEX(MO_SNA_FPStartDate,0,COLUMN()),INDEX(MO_Common_QEndDate,0,COLUMN())),"N/A")</f>
        <v>N/A</v>
      </c>
      <c r="AF773" s="303" t="str">
        <f ca="1">IFERROR(_xll.TR(MO.Ticker.Thomson,"MAX(TR.Pricehigh)","sdate:#1 edate:#2",,INDEX(MO_SNA_FPStartDate,0,COLUMN()),INDEX(MO_Common_QEndDate,0,COLUMN())),"N/A")</f>
        <v>N/A</v>
      </c>
      <c r="AG773" s="303" t="str">
        <f ca="1">IFERROR(_xll.TR(MO.Ticker.Thomson,"MAX(TR.Pricehigh)","sdate:#1 edate:#2",,INDEX(MO_SNA_FPStartDate,0,COLUMN()),INDEX(MO_Common_QEndDate,0,COLUMN())),"N/A")</f>
        <v>N/A</v>
      </c>
      <c r="AH773" s="303" t="str">
        <f ca="1">IFERROR(_xll.TR(MO.Ticker.Thomson,"MAX(TR.Pricehigh)","sdate:#1 edate:#2",,INDEX(MO_SNA_FPStartDate,0,COLUMN()),INDEX(MO_Common_QEndDate,0,COLUMN())),"N/A")</f>
        <v>N/A</v>
      </c>
      <c r="AI773" s="303" t="str">
        <f ca="1">IFERROR(_xll.TR(MO.Ticker.Thomson,"MAX(TR.Pricehigh)","sdate:#1 edate:#2",,INDEX(MO_SNA_FPStartDate,0,COLUMN()),INDEX(MO_Common_QEndDate,0,COLUMN())),"N/A")</f>
        <v>N/A</v>
      </c>
      <c r="AJ773" s="303" t="str">
        <f ca="1">IFERROR(_xll.TR(MO.Ticker.Thomson,"MAX(TR.Pricehigh)","sdate:#1 edate:#2",,INDEX(MO_SNA_FPStartDate,0,COLUMN()),INDEX(MO_Common_QEndDate,0,COLUMN())),"N/A")</f>
        <v>N/A</v>
      </c>
      <c r="AK773" s="303" t="str">
        <f ca="1">IFERROR(_xll.TR(MO.Ticker.Thomson,"MAX(TR.Pricehigh)","sdate:#1 edate:#2",,INDEX(MO_SNA_FPStartDate,0,COLUMN()),INDEX(MO_Common_QEndDate,0,COLUMN())),"N/A")</f>
        <v>N/A</v>
      </c>
      <c r="AL773" s="303" t="str">
        <f ca="1">IFERROR(_xll.TR(MO.Ticker.Thomson,"MAX(TR.Pricehigh)","sdate:#1 edate:#2",,INDEX(MO_SNA_FPStartDate,0,COLUMN()),INDEX(MO_Common_QEndDate,0,COLUMN())),"N/A")</f>
        <v>N/A</v>
      </c>
      <c r="AM773" s="303" t="str">
        <f ca="1">IFERROR(_xll.TR(MO.Ticker.Thomson,"MAX(TR.Pricehigh)","sdate:#1 edate:#2",,INDEX(MO_SNA_FPStartDate,0,COLUMN()),INDEX(MO_Common_QEndDate,0,COLUMN())),"N/A")</f>
        <v>N/A</v>
      </c>
      <c r="AN773" s="303" t="str">
        <f ca="1">IFERROR(_xll.TR(MO.Ticker.Thomson,"MAX(TR.Pricehigh)","sdate:#1 edate:#2",,INDEX(MO_SNA_FPStartDate,0,COLUMN()),INDEX(MO_Common_QEndDate,0,COLUMN())),"N/A")</f>
        <v>N/A</v>
      </c>
      <c r="AO773" s="303" t="str">
        <f ca="1">IFERROR(_xll.TR(MO.Ticker.Thomson,"MAX(TR.Pricehigh)","sdate:#1 edate:#2",,INDEX(MO_SNA_FPStartDate,0,COLUMN()),INDEX(MO_Common_QEndDate,0,COLUMN())),"N/A")</f>
        <v>N/A</v>
      </c>
      <c r="AP773" s="303" t="str">
        <f ca="1">IFERROR(_xll.TR(MO.Ticker.Thomson,"MAX(TR.Pricehigh)","sdate:#1 edate:#2",,INDEX(MO_SNA_FPStartDate,0,COLUMN()),INDEX(MO_Common_QEndDate,0,COLUMN())),"N/A")</f>
        <v>N/A</v>
      </c>
      <c r="AQ773" s="303" t="str">
        <f ca="1">IFERROR(_xll.TR(MO.Ticker.Thomson,"MAX(TR.Pricehigh)","sdate:#1 edate:#2",,INDEX(MO_SNA_FPStartDate,0,COLUMN()),INDEX(MO_Common_QEndDate,0,COLUMN())),"N/A")</f>
        <v>N/A</v>
      </c>
      <c r="AR773" s="303" t="str">
        <f ca="1">IFERROR(_xll.TR(MO.Ticker.Thomson,"MAX(TR.Pricehigh)","sdate:#1 edate:#2",,INDEX(MO_SNA_FPStartDate,0,COLUMN()),INDEX(MO_Common_QEndDate,0,COLUMN())),"N/A")</f>
        <v>N/A</v>
      </c>
      <c r="AS773" s="303" t="str">
        <f ca="1">IFERROR(_xll.TR(MO.Ticker.Thomson,"MAX(TR.Pricehigh)","sdate:#1 edate:#2",,INDEX(MO_SNA_FPStartDate,0,COLUMN()),INDEX(MO_Common_QEndDate,0,COLUMN())),"N/A")</f>
        <v>N/A</v>
      </c>
      <c r="AT773" s="303" t="str">
        <f ca="1">IFERROR(_xll.TR(MO.Ticker.Thomson,"MAX(TR.Pricehigh)","sdate:#1 edate:#2",,INDEX(MO_SNA_FPStartDate,0,COLUMN()),INDEX(MO_Common_QEndDate,0,COLUMN())),"N/A")</f>
        <v>N/A</v>
      </c>
      <c r="AU773" s="303" t="str">
        <f ca="1">IFERROR(_xll.TR(MO.Ticker.Thomson,"MAX(TR.Pricehigh)","sdate:#1 edate:#2",,INDEX(MO_SNA_FPStartDate,0,COLUMN()),INDEX(MO_Common_QEndDate,0,COLUMN())),"N/A")</f>
        <v>N/A</v>
      </c>
      <c r="AV773" s="303" t="str">
        <f ca="1">IFERROR(_xll.TR(MO.Ticker.Thomson,"MAX(TR.Pricehigh)","sdate:#1 edate:#2",,INDEX(MO_SNA_FPStartDate,0,COLUMN()),INDEX(MO_Common_QEndDate,0,COLUMN())),"N/A")</f>
        <v>N/A</v>
      </c>
      <c r="AW773" s="604" t="str">
        <f ca="1">IFERROR(_xll.TR(MO.Ticker.Thomson,"MAX(TR.Pricehigh)","sdate:#1 edate:#2",,INDEX(MO_SNA_FPStartDate,0,COLUMN()),INDEX(MO_Common_QEndDate,0,COLUMN())),"N/A")</f>
        <v>N/A</v>
      </c>
      <c r="AX773" s="303" t="str">
        <f ca="1">IFERROR(_xll.TR(MO.Ticker.Thomson,"MAX(TR.Pricehigh)","sdate:#1 edate:#2",,INDEX(MO_SNA_FPStartDate,0,COLUMN()),INDEX(MO_Common_QEndDate,0,COLUMN())),"N/A")</f>
        <v>N/A</v>
      </c>
      <c r="AY773" s="303" t="str">
        <f ca="1">IFERROR(_xll.TR(MO.Ticker.Thomson,"MAX(TR.Pricehigh)","sdate:#1 edate:#2",,INDEX(MO_SNA_FPStartDate,0,COLUMN()),INDEX(MO_Common_QEndDate,0,COLUMN())),"N/A")</f>
        <v>N/A</v>
      </c>
      <c r="AZ773" s="303" t="str">
        <f ca="1">IFERROR(_xll.TR(MO.Ticker.Thomson,"MAX(TR.Pricehigh)","sdate:#1 edate:#2",,INDEX(MO_SNA_FPStartDate,0,COLUMN()),INDEX(MO_Common_QEndDate,0,COLUMN())),"N/A")</f>
        <v>N/A</v>
      </c>
      <c r="BA773" s="303" t="str">
        <f ca="1">IFERROR(_xll.TR(MO.Ticker.Thomson,"MAX(TR.Pricehigh)","sdate:#1 edate:#2",,INDEX(MO_SNA_FPStartDate,0,COLUMN()),INDEX(MO_Common_QEndDate,0,COLUMN())),"N/A")</f>
        <v>N/A</v>
      </c>
      <c r="BB773" s="303" t="str">
        <f ca="1">IFERROR(_xll.TR(MO.Ticker.Thomson,"MAX(TR.Pricehigh)","sdate:#1 edate:#2",,INDEX(MO_SNA_FPStartDate,0,COLUMN()),INDEX(MO_Common_QEndDate,0,COLUMN())),"N/A")</f>
        <v>N/A</v>
      </c>
      <c r="BC773" s="303" t="str">
        <f ca="1">IFERROR(_xll.TR(MO.Ticker.Thomson,"MAX(TR.Pricehigh)","sdate:#1 edate:#2",,INDEX(MO_SNA_FPStartDate,0,COLUMN()),INDEX(MO_Common_QEndDate,0,COLUMN())),"N/A")</f>
        <v>N/A</v>
      </c>
      <c r="BD773" s="303" t="str">
        <f ca="1">IFERROR(_xll.TR(MO.Ticker.Thomson,"MAX(TR.Pricehigh)","sdate:#1 edate:#2",,INDEX(MO_SNA_FPStartDate,0,COLUMN()),INDEX(MO_Common_QEndDate,0,COLUMN())),"N/A")</f>
        <v>N/A</v>
      </c>
      <c r="BE773" s="303" t="str">
        <f ca="1">IFERROR(_xll.TR(MO.Ticker.Thomson,"MAX(TR.Pricehigh)","sdate:#1 edate:#2",,INDEX(MO_SNA_FPStartDate,0,COLUMN()),INDEX(MO_Common_QEndDate,0,COLUMN())),"N/A")</f>
        <v>N/A</v>
      </c>
      <c r="BF773" s="303" t="str">
        <f ca="1">IFERROR(_xll.TR(MO.Ticker.Thomson,"MAX(TR.Pricehigh)","sdate:#1 edate:#2",,INDEX(MO_SNA_FPStartDate,0,COLUMN()),INDEX(MO_Common_QEndDate,0,COLUMN())),"N/A")</f>
        <v>N/A</v>
      </c>
      <c r="BG773" s="305" t="str">
        <f ca="1">IFERROR(_xll.TR(MO.Ticker.Thomson,"MAX(TR.Pricehigh)","sdate:#1 edate:#2",,INDEX(MO_SNA_FPStartDate,0,COLUMN()),INDEX(MO_Common_QEndDate,0,COLUMN())),"N/A")</f>
        <v>N/A</v>
      </c>
      <c r="BH773" s="277"/>
    </row>
    <row r="774" spans="1:60" customFormat="1" hidden="1" outlineLevel="1" x14ac:dyDescent="0.25">
      <c r="A774" s="235"/>
      <c r="B774" s="822"/>
      <c r="C774" s="169"/>
      <c r="D774" s="169"/>
      <c r="E774" s="822"/>
      <c r="F774" s="822"/>
      <c r="G774" s="822"/>
      <c r="H774" s="822"/>
      <c r="I774" s="822"/>
      <c r="J774" s="822"/>
      <c r="K774" s="822"/>
      <c r="L774" s="822"/>
      <c r="M774" s="822"/>
      <c r="N774" s="822"/>
      <c r="O774" s="822"/>
      <c r="P774" s="822"/>
      <c r="Q774" s="822"/>
      <c r="R774" s="822"/>
      <c r="S774" s="822"/>
      <c r="T774" s="822"/>
      <c r="U774" s="822"/>
      <c r="V774" s="822"/>
      <c r="W774" s="822"/>
      <c r="X774" s="822"/>
      <c r="Y774" s="822"/>
      <c r="Z774" s="822"/>
      <c r="AA774" s="822"/>
      <c r="AB774" s="822"/>
      <c r="AC774" s="822"/>
      <c r="AD774" s="822"/>
      <c r="AE774" s="822"/>
      <c r="AF774" s="822"/>
      <c r="AG774" s="822"/>
      <c r="AH774" s="822"/>
      <c r="AI774" s="822"/>
      <c r="AJ774" s="822"/>
      <c r="AK774" s="822"/>
      <c r="AL774" s="822"/>
      <c r="AM774" s="822"/>
      <c r="AN774" s="822"/>
      <c r="AO774" s="822"/>
      <c r="AP774" s="822"/>
      <c r="AQ774" s="822"/>
      <c r="AR774" s="822"/>
      <c r="AS774" s="822"/>
      <c r="AT774" s="822"/>
      <c r="AU774" s="822"/>
      <c r="AV774" s="822"/>
      <c r="AW774" s="823"/>
      <c r="AX774" s="822"/>
      <c r="AY774" s="822"/>
      <c r="AZ774" s="822"/>
      <c r="BA774" s="822"/>
      <c r="BB774" s="822"/>
      <c r="BC774" s="822"/>
      <c r="BD774" s="822"/>
      <c r="BE774" s="822"/>
      <c r="BF774" s="822"/>
      <c r="BG774" s="233"/>
      <c r="BH774" s="821"/>
    </row>
    <row r="775" spans="1:60" customFormat="1" collapsed="1" x14ac:dyDescent="0.25">
      <c r="A775" s="302" t="str">
        <f ca="1">"Stock Low: "&amp;IF(OR(MO.RealTimeStockPriceToggle=FALSE,VLOOKUP(MO.DataSourceName,MO_SPT_StockLow_Sources,COLUMN()+2,FALSE)="N/A"),"Real-Time Off Source",MO.DataSourceName)</f>
        <v>Stock Low: Real-Time Off Source</v>
      </c>
      <c r="B775" s="303"/>
      <c r="C775" s="304">
        <f t="shared" ref="C775:AH775" ca="1" si="757">IF(OR(MO.RealTimeStockPriceToggle=FALSE,VLOOKUP(MO.DataSourceName,MO_SPT_StockLow_Sources,COLUMN(),FALSE)="N/A"),VLOOKUP("Real-Time Off Source",MO_SPT_StockLow_Sources,COLUMN(),FALSE),VLOOKUP(MO.DataSourceName,MO_SPT_StockLow_Sources,COLUMN(),FALSE))</f>
        <v>4.1114285714285703</v>
      </c>
      <c r="D775" s="304">
        <f t="shared" ca="1" si="757"/>
        <v>6.9314285714285697</v>
      </c>
      <c r="E775" s="303">
        <f t="shared" ca="1" si="757"/>
        <v>1.27285714285714</v>
      </c>
      <c r="F775" s="303">
        <f t="shared" ca="1" si="757"/>
        <v>7.54428571428571</v>
      </c>
      <c r="G775" s="303">
        <f t="shared" ca="1" si="757"/>
        <v>12.955714285714301</v>
      </c>
      <c r="H775" s="303">
        <f t="shared" ca="1" si="757"/>
        <v>22.714285714285701</v>
      </c>
      <c r="I775" s="303">
        <f t="shared" ca="1" si="757"/>
        <v>30.285714285714299</v>
      </c>
      <c r="J775" s="303">
        <f t="shared" ca="1" si="757"/>
        <v>40.4</v>
      </c>
      <c r="K775" s="303">
        <f t="shared" ca="1" si="757"/>
        <v>12.955714285714301</v>
      </c>
      <c r="L775" s="303">
        <f t="shared" ca="1" si="757"/>
        <v>45.58</v>
      </c>
      <c r="M775" s="303">
        <f t="shared" ca="1" si="757"/>
        <v>42.79</v>
      </c>
      <c r="N775" s="303">
        <f t="shared" ca="1" si="757"/>
        <v>58.93</v>
      </c>
      <c r="O775" s="303">
        <f t="shared" ca="1" si="757"/>
        <v>45.08</v>
      </c>
      <c r="P775" s="303">
        <f t="shared" ca="1" si="757"/>
        <v>42.79</v>
      </c>
      <c r="Q775" s="303">
        <f t="shared" ca="1" si="757"/>
        <v>45.26</v>
      </c>
      <c r="R775" s="303">
        <f t="shared" ca="1" si="757"/>
        <v>58.46</v>
      </c>
      <c r="S775" s="303">
        <f t="shared" ca="1" si="757"/>
        <v>85.5</v>
      </c>
      <c r="T775" s="303">
        <f t="shared" ca="1" si="757"/>
        <v>96.26</v>
      </c>
      <c r="U775" s="303">
        <f t="shared" ca="1" si="757"/>
        <v>45.26</v>
      </c>
      <c r="V775" s="303">
        <f t="shared" ca="1" si="757"/>
        <v>79.95</v>
      </c>
      <c r="W775" s="303">
        <f t="shared" ca="1" si="757"/>
        <v>84.81</v>
      </c>
      <c r="X775" s="303">
        <f t="shared" ca="1" si="757"/>
        <v>84.5</v>
      </c>
      <c r="Y775" s="303">
        <f t="shared" ca="1" si="757"/>
        <v>97.63</v>
      </c>
      <c r="Z775" s="303">
        <f t="shared" ca="1" si="757"/>
        <v>79.95</v>
      </c>
      <c r="AA775" s="303">
        <f t="shared" ca="1" si="757"/>
        <v>124.31</v>
      </c>
      <c r="AB775" s="303">
        <f t="shared" ca="1" si="757"/>
        <v>138.66</v>
      </c>
      <c r="AC775" s="303">
        <f t="shared" ca="1" si="757"/>
        <v>144.25</v>
      </c>
      <c r="AD775" s="303">
        <f t="shared" ca="1" si="757"/>
        <v>176.58</v>
      </c>
      <c r="AE775" s="303">
        <f t="shared" ca="1" si="757"/>
        <v>124.31</v>
      </c>
      <c r="AF775" s="303">
        <f t="shared" ca="1" si="757"/>
        <v>201.07</v>
      </c>
      <c r="AG775" s="303">
        <f t="shared" ca="1" si="757"/>
        <v>280.29000000000002</v>
      </c>
      <c r="AH775" s="303">
        <f t="shared" ca="1" si="757"/>
        <v>316.77999999999997</v>
      </c>
      <c r="AI775" s="303">
        <f t="shared" ref="AI775:BG775" ca="1" si="758">IF(OR(MO.RealTimeStockPriceToggle=FALSE,VLOOKUP(MO.DataSourceName,MO_SPT_StockLow_Sources,COLUMN(),FALSE)="N/A"),VLOOKUP("Real-Time Off Source",MO_SPT_StockLow_Sources,COLUMN(),FALSE),VLOOKUP(MO.DataSourceName,MO_SPT_StockLow_Sources,COLUMN(),FALSE))</f>
        <v>233.88</v>
      </c>
      <c r="AJ775" s="303">
        <f t="shared" ca="1" si="758"/>
        <v>201.07</v>
      </c>
      <c r="AK775" s="303">
        <f t="shared" ca="1" si="758"/>
        <v>267.66000000000003</v>
      </c>
      <c r="AL775" s="303">
        <f t="shared" ca="1" si="758"/>
        <v>336.63</v>
      </c>
      <c r="AM775" s="303">
        <f t="shared" ca="1" si="758"/>
        <v>254.59</v>
      </c>
      <c r="AN775" s="303">
        <f t="shared" ca="1" si="758"/>
        <v>266.69</v>
      </c>
      <c r="AO775" s="303">
        <f t="shared" ca="1" si="758"/>
        <v>254.59</v>
      </c>
      <c r="AP775" s="303">
        <f t="shared" ca="1" si="758"/>
        <v>298.83999999999997</v>
      </c>
      <c r="AQ775" s="303">
        <f t="shared" ca="1" si="758"/>
        <v>361.76</v>
      </c>
      <c r="AR775" s="303">
        <f t="shared" ca="1" si="758"/>
        <v>466.93</v>
      </c>
      <c r="AS775" s="303">
        <f t="shared" ca="1" si="758"/>
        <v>470.5</v>
      </c>
      <c r="AT775" s="303">
        <f t="shared" ca="1" si="758"/>
        <v>298.83999999999997</v>
      </c>
      <c r="AU775" s="303">
        <f t="shared" ca="1" si="758"/>
        <v>493.33</v>
      </c>
      <c r="AV775" s="303">
        <f t="shared" ca="1" si="758"/>
        <v>484.98</v>
      </c>
      <c r="AW775" s="604">
        <f t="shared" ca="1" si="758"/>
        <v>510.72</v>
      </c>
      <c r="AX775" s="303">
        <f t="shared" ca="1" si="758"/>
        <v>0</v>
      </c>
      <c r="AY775" s="303">
        <f t="shared" ca="1" si="758"/>
        <v>0</v>
      </c>
      <c r="AZ775" s="303">
        <f t="shared" ca="1" si="758"/>
        <v>0</v>
      </c>
      <c r="BA775" s="303">
        <f t="shared" ca="1" si="758"/>
        <v>0</v>
      </c>
      <c r="BB775" s="303">
        <f t="shared" ca="1" si="758"/>
        <v>0</v>
      </c>
      <c r="BC775" s="303">
        <f t="shared" ca="1" si="758"/>
        <v>0</v>
      </c>
      <c r="BD775" s="303">
        <f t="shared" ca="1" si="758"/>
        <v>0</v>
      </c>
      <c r="BE775" s="303">
        <f t="shared" ca="1" si="758"/>
        <v>0</v>
      </c>
      <c r="BF775" s="303">
        <f t="shared" ca="1" si="758"/>
        <v>0</v>
      </c>
      <c r="BG775" s="305">
        <f t="shared" ca="1" si="758"/>
        <v>0</v>
      </c>
      <c r="BH775" s="277"/>
    </row>
    <row r="776" spans="1:60" customFormat="1" hidden="1" outlineLevel="1" x14ac:dyDescent="0.25">
      <c r="A776" s="306" t="s">
        <v>262</v>
      </c>
      <c r="B776" s="303"/>
      <c r="C776" s="304">
        <v>4.1114285714285703</v>
      </c>
      <c r="D776" s="304">
        <v>6.9314285714285697</v>
      </c>
      <c r="E776" s="303">
        <v>1.27285714285714</v>
      </c>
      <c r="F776" s="303">
        <v>7.54428571428571</v>
      </c>
      <c r="G776" s="303">
        <v>12.955714285714301</v>
      </c>
      <c r="H776" s="303">
        <v>22.714285714285701</v>
      </c>
      <c r="I776" s="303">
        <v>30.285714285714299</v>
      </c>
      <c r="J776" s="303">
        <v>40.4</v>
      </c>
      <c r="K776" s="303">
        <v>12.955714285714301</v>
      </c>
      <c r="L776" s="303">
        <v>45.58</v>
      </c>
      <c r="M776" s="303">
        <v>42.79</v>
      </c>
      <c r="N776" s="303">
        <v>58.93</v>
      </c>
      <c r="O776" s="303">
        <v>45.08</v>
      </c>
      <c r="P776" s="303">
        <v>42.79</v>
      </c>
      <c r="Q776" s="303">
        <v>45.26</v>
      </c>
      <c r="R776" s="303">
        <v>58.46</v>
      </c>
      <c r="S776" s="303">
        <v>85.5</v>
      </c>
      <c r="T776" s="303">
        <v>96.26</v>
      </c>
      <c r="U776" s="303">
        <v>45.26</v>
      </c>
      <c r="V776" s="303">
        <v>79.95</v>
      </c>
      <c r="W776" s="303">
        <v>84.81</v>
      </c>
      <c r="X776" s="303">
        <v>84.5</v>
      </c>
      <c r="Y776" s="303">
        <v>97.63</v>
      </c>
      <c r="Z776" s="303">
        <v>79.95</v>
      </c>
      <c r="AA776" s="303">
        <v>124.31</v>
      </c>
      <c r="AB776" s="303">
        <v>138.66</v>
      </c>
      <c r="AC776" s="303">
        <v>144.25</v>
      </c>
      <c r="AD776" s="303">
        <v>176.58</v>
      </c>
      <c r="AE776" s="303">
        <v>124.31</v>
      </c>
      <c r="AF776" s="303">
        <v>201.07</v>
      </c>
      <c r="AG776" s="303">
        <v>280.29000000000002</v>
      </c>
      <c r="AH776" s="303">
        <v>316.77999999999997</v>
      </c>
      <c r="AI776" s="303">
        <v>233.88</v>
      </c>
      <c r="AJ776" s="303">
        <v>201.07</v>
      </c>
      <c r="AK776" s="303">
        <v>267.66000000000003</v>
      </c>
      <c r="AL776" s="303">
        <v>336.63</v>
      </c>
      <c r="AM776" s="303">
        <v>254.59</v>
      </c>
      <c r="AN776" s="303">
        <v>266.69</v>
      </c>
      <c r="AO776" s="303">
        <v>254.59</v>
      </c>
      <c r="AP776" s="303">
        <v>298.83999999999997</v>
      </c>
      <c r="AQ776" s="303">
        <v>361.76</v>
      </c>
      <c r="AR776" s="303">
        <v>466.93</v>
      </c>
      <c r="AS776" s="303">
        <v>470.5</v>
      </c>
      <c r="AT776" s="303">
        <v>298.83999999999997</v>
      </c>
      <c r="AU776" s="303">
        <v>493.33</v>
      </c>
      <c r="AV776" s="303">
        <v>484.98</v>
      </c>
      <c r="AW776" s="604">
        <v>510.72</v>
      </c>
      <c r="AX776" s="303"/>
      <c r="AY776" s="303"/>
      <c r="AZ776" s="303"/>
      <c r="BA776" s="303"/>
      <c r="BB776" s="303"/>
      <c r="BC776" s="303"/>
      <c r="BD776" s="303"/>
      <c r="BE776" s="303"/>
      <c r="BF776" s="303"/>
      <c r="BG776" s="305"/>
      <c r="BH776" s="277"/>
    </row>
    <row r="777" spans="1:60" customFormat="1" hidden="1" outlineLevel="1" x14ac:dyDescent="0.25">
      <c r="A777" s="306" t="s">
        <v>7</v>
      </c>
      <c r="B777" s="303"/>
      <c r="C777" s="304" t="str">
        <f ca="1">IFERROR(BDP(MO.Ticker.Bloomberg&amp;" Equity","INTERVAL_LOW","MARKET_DATA_OVERRIDE=PX_LAST","START_DATE_OVERRIDE",TEXT(INDEX(MO_SNA_FPStartDate,0,COLUMN()),"YYYYMMDD"),"END_DATE_OVERRIDE",TEXT(INDEX(MO_Common_QEndDate,0,COLUMN()),"YYYYMMDD")),"N/A")</f>
        <v>N/A</v>
      </c>
      <c r="D777" s="304" t="str">
        <f ca="1">IFERROR(BDP(MO.Ticker.Bloomberg&amp;" Equity","INTERVAL_LOW","MARKET_DATA_OVERRIDE=PX_LAST","START_DATE_OVERRIDE",TEXT(INDEX(MO_SNA_FPStartDate,0,COLUMN()),"YYYYMMDD"),"END_DATE_OVERRIDE",TEXT(INDEX(MO_Common_QEndDate,0,COLUMN()),"YYYYMMDD")),"N/A")</f>
        <v>N/A</v>
      </c>
      <c r="E777" s="303" t="str">
        <f ca="1">IFERROR(BDP(MO.Ticker.Bloomberg&amp;" Equity","INTERVAL_LOW","MARKET_DATA_OVERRIDE=PX_LAST","START_DATE_OVERRIDE",TEXT(INDEX(MO_SNA_FPStartDate,0,COLUMN()),"YYYYMMDD"),"END_DATE_OVERRIDE",TEXT(INDEX(MO_Common_QEndDate,0,COLUMN()),"YYYYMMDD")),"N/A")</f>
        <v>N/A</v>
      </c>
      <c r="F777" s="303" t="str">
        <f ca="1">IFERROR(BDP(MO.Ticker.Bloomberg&amp;" Equity","INTERVAL_LOW","MARKET_DATA_OVERRIDE=PX_LAST","START_DATE_OVERRIDE",TEXT(INDEX(MO_SNA_FPStartDate,0,COLUMN()),"YYYYMMDD"),"END_DATE_OVERRIDE",TEXT(INDEX(MO_Common_QEndDate,0,COLUMN()),"YYYYMMDD")),"N/A")</f>
        <v>N/A</v>
      </c>
      <c r="G777" s="303" t="str">
        <f ca="1">IFERROR(BDP(MO.Ticker.Bloomberg&amp;" Equity","INTERVAL_LOW","MARKET_DATA_OVERRIDE=PX_LAST","START_DATE_OVERRIDE",TEXT(INDEX(MO_SNA_FPStartDate,0,COLUMN()),"YYYYMMDD"),"END_DATE_OVERRIDE",TEXT(INDEX(MO_Common_QEndDate,0,COLUMN()),"YYYYMMDD")),"N/A")</f>
        <v>N/A</v>
      </c>
      <c r="H777" s="303" t="str">
        <f ca="1">IFERROR(BDP(MO.Ticker.Bloomberg&amp;" Equity","INTERVAL_LOW","MARKET_DATA_OVERRIDE=PX_LAST","START_DATE_OVERRIDE",TEXT(INDEX(MO_SNA_FPStartDate,0,COLUMN()),"YYYYMMDD"),"END_DATE_OVERRIDE",TEXT(INDEX(MO_Common_QEndDate,0,COLUMN()),"YYYYMMDD")),"N/A")</f>
        <v>N/A</v>
      </c>
      <c r="I777" s="303" t="str">
        <f ca="1">IFERROR(BDP(MO.Ticker.Bloomberg&amp;" Equity","INTERVAL_LOW","MARKET_DATA_OVERRIDE=PX_LAST","START_DATE_OVERRIDE",TEXT(INDEX(MO_SNA_FPStartDate,0,COLUMN()),"YYYYMMDD"),"END_DATE_OVERRIDE",TEXT(INDEX(MO_Common_QEndDate,0,COLUMN()),"YYYYMMDD")),"N/A")</f>
        <v>N/A</v>
      </c>
      <c r="J777" s="303" t="str">
        <f ca="1">IFERROR(BDP(MO.Ticker.Bloomberg&amp;" Equity","INTERVAL_LOW","MARKET_DATA_OVERRIDE=PX_LAST","START_DATE_OVERRIDE",TEXT(INDEX(MO_SNA_FPStartDate,0,COLUMN()),"YYYYMMDD"),"END_DATE_OVERRIDE",TEXT(INDEX(MO_Common_QEndDate,0,COLUMN()),"YYYYMMDD")),"N/A")</f>
        <v>N/A</v>
      </c>
      <c r="K777" s="303" t="str">
        <f ca="1">IFERROR(BDP(MO.Ticker.Bloomberg&amp;" Equity","INTERVAL_LOW","MARKET_DATA_OVERRIDE=PX_LAST","START_DATE_OVERRIDE",TEXT(INDEX(MO_SNA_FPStartDate,0,COLUMN()),"YYYYMMDD"),"END_DATE_OVERRIDE",TEXT(INDEX(MO_Common_QEndDate,0,COLUMN()),"YYYYMMDD")),"N/A")</f>
        <v>N/A</v>
      </c>
      <c r="L777" s="303" t="str">
        <f ca="1">IFERROR(BDP(MO.Ticker.Bloomberg&amp;" Equity","INTERVAL_LOW","MARKET_DATA_OVERRIDE=PX_LAST","START_DATE_OVERRIDE",TEXT(INDEX(MO_SNA_FPStartDate,0,COLUMN()),"YYYYMMDD"),"END_DATE_OVERRIDE",TEXT(INDEX(MO_Common_QEndDate,0,COLUMN()),"YYYYMMDD")),"N/A")</f>
        <v>N/A</v>
      </c>
      <c r="M777" s="303" t="str">
        <f ca="1">IFERROR(BDP(MO.Ticker.Bloomberg&amp;" Equity","INTERVAL_LOW","MARKET_DATA_OVERRIDE=PX_LAST","START_DATE_OVERRIDE",TEXT(INDEX(MO_SNA_FPStartDate,0,COLUMN()),"YYYYMMDD"),"END_DATE_OVERRIDE",TEXT(INDEX(MO_Common_QEndDate,0,COLUMN()),"YYYYMMDD")),"N/A")</f>
        <v>N/A</v>
      </c>
      <c r="N777" s="303" t="str">
        <f ca="1">IFERROR(BDP(MO.Ticker.Bloomberg&amp;" Equity","INTERVAL_LOW","MARKET_DATA_OVERRIDE=PX_LAST","START_DATE_OVERRIDE",TEXT(INDEX(MO_SNA_FPStartDate,0,COLUMN()),"YYYYMMDD"),"END_DATE_OVERRIDE",TEXT(INDEX(MO_Common_QEndDate,0,COLUMN()),"YYYYMMDD")),"N/A")</f>
        <v>N/A</v>
      </c>
      <c r="O777" s="303" t="str">
        <f ca="1">IFERROR(BDP(MO.Ticker.Bloomberg&amp;" Equity","INTERVAL_LOW","MARKET_DATA_OVERRIDE=PX_LAST","START_DATE_OVERRIDE",TEXT(INDEX(MO_SNA_FPStartDate,0,COLUMN()),"YYYYMMDD"),"END_DATE_OVERRIDE",TEXT(INDEX(MO_Common_QEndDate,0,COLUMN()),"YYYYMMDD")),"N/A")</f>
        <v>N/A</v>
      </c>
      <c r="P777" s="303" t="str">
        <f ca="1">IFERROR(BDP(MO.Ticker.Bloomberg&amp;" Equity","INTERVAL_LOW","MARKET_DATA_OVERRIDE=PX_LAST","START_DATE_OVERRIDE",TEXT(INDEX(MO_SNA_FPStartDate,0,COLUMN()),"YYYYMMDD"),"END_DATE_OVERRIDE",TEXT(INDEX(MO_Common_QEndDate,0,COLUMN()),"YYYYMMDD")),"N/A")</f>
        <v>N/A</v>
      </c>
      <c r="Q777" s="303" t="str">
        <f ca="1">IFERROR(BDP(MO.Ticker.Bloomberg&amp;" Equity","INTERVAL_LOW","MARKET_DATA_OVERRIDE=PX_LAST","START_DATE_OVERRIDE",TEXT(INDEX(MO_SNA_FPStartDate,0,COLUMN()),"YYYYMMDD"),"END_DATE_OVERRIDE",TEXT(INDEX(MO_Common_QEndDate,0,COLUMN()),"YYYYMMDD")),"N/A")</f>
        <v>N/A</v>
      </c>
      <c r="R777" s="303" t="str">
        <f ca="1">IFERROR(BDP(MO.Ticker.Bloomberg&amp;" Equity","INTERVAL_LOW","MARKET_DATA_OVERRIDE=PX_LAST","START_DATE_OVERRIDE",TEXT(INDEX(MO_SNA_FPStartDate,0,COLUMN()),"YYYYMMDD"),"END_DATE_OVERRIDE",TEXT(INDEX(MO_Common_QEndDate,0,COLUMN()),"YYYYMMDD")),"N/A")</f>
        <v>N/A</v>
      </c>
      <c r="S777" s="303" t="str">
        <f ca="1">IFERROR(BDP(MO.Ticker.Bloomberg&amp;" Equity","INTERVAL_LOW","MARKET_DATA_OVERRIDE=PX_LAST","START_DATE_OVERRIDE",TEXT(INDEX(MO_SNA_FPStartDate,0,COLUMN()),"YYYYMMDD"),"END_DATE_OVERRIDE",TEXT(INDEX(MO_Common_QEndDate,0,COLUMN()),"YYYYMMDD")),"N/A")</f>
        <v>N/A</v>
      </c>
      <c r="T777" s="303" t="str">
        <f ca="1">IFERROR(BDP(MO.Ticker.Bloomberg&amp;" Equity","INTERVAL_LOW","MARKET_DATA_OVERRIDE=PX_LAST","START_DATE_OVERRIDE",TEXT(INDEX(MO_SNA_FPStartDate,0,COLUMN()),"YYYYMMDD"),"END_DATE_OVERRIDE",TEXT(INDEX(MO_Common_QEndDate,0,COLUMN()),"YYYYMMDD")),"N/A")</f>
        <v>N/A</v>
      </c>
      <c r="U777" s="303" t="str">
        <f ca="1">IFERROR(BDP(MO.Ticker.Bloomberg&amp;" Equity","INTERVAL_LOW","MARKET_DATA_OVERRIDE=PX_LAST","START_DATE_OVERRIDE",TEXT(INDEX(MO_SNA_FPStartDate,0,COLUMN()),"YYYYMMDD"),"END_DATE_OVERRIDE",TEXT(INDEX(MO_Common_QEndDate,0,COLUMN()),"YYYYMMDD")),"N/A")</f>
        <v>N/A</v>
      </c>
      <c r="V777" s="303" t="str">
        <f ca="1">IFERROR(BDP(MO.Ticker.Bloomberg&amp;" Equity","INTERVAL_LOW","MARKET_DATA_OVERRIDE=PX_LAST","START_DATE_OVERRIDE",TEXT(INDEX(MO_SNA_FPStartDate,0,COLUMN()),"YYYYMMDD"),"END_DATE_OVERRIDE",TEXT(INDEX(MO_Common_QEndDate,0,COLUMN()),"YYYYMMDD")),"N/A")</f>
        <v>N/A</v>
      </c>
      <c r="W777" s="303" t="str">
        <f ca="1">IFERROR(BDP(MO.Ticker.Bloomberg&amp;" Equity","INTERVAL_LOW","MARKET_DATA_OVERRIDE=PX_LAST","START_DATE_OVERRIDE",TEXT(INDEX(MO_SNA_FPStartDate,0,COLUMN()),"YYYYMMDD"),"END_DATE_OVERRIDE",TEXT(INDEX(MO_Common_QEndDate,0,COLUMN()),"YYYYMMDD")),"N/A")</f>
        <v>N/A</v>
      </c>
      <c r="X777" s="303" t="str">
        <f ca="1">IFERROR(BDP(MO.Ticker.Bloomberg&amp;" Equity","INTERVAL_LOW","MARKET_DATA_OVERRIDE=PX_LAST","START_DATE_OVERRIDE",TEXT(INDEX(MO_SNA_FPStartDate,0,COLUMN()),"YYYYMMDD"),"END_DATE_OVERRIDE",TEXT(INDEX(MO_Common_QEndDate,0,COLUMN()),"YYYYMMDD")),"N/A")</f>
        <v>N/A</v>
      </c>
      <c r="Y777" s="303" t="str">
        <f ca="1">IFERROR(BDP(MO.Ticker.Bloomberg&amp;" Equity","INTERVAL_LOW","MARKET_DATA_OVERRIDE=PX_LAST","START_DATE_OVERRIDE",TEXT(INDEX(MO_SNA_FPStartDate,0,COLUMN()),"YYYYMMDD"),"END_DATE_OVERRIDE",TEXT(INDEX(MO_Common_QEndDate,0,COLUMN()),"YYYYMMDD")),"N/A")</f>
        <v>N/A</v>
      </c>
      <c r="Z777" s="303" t="str">
        <f ca="1">IFERROR(BDP(MO.Ticker.Bloomberg&amp;" Equity","INTERVAL_LOW","MARKET_DATA_OVERRIDE=PX_LAST","START_DATE_OVERRIDE",TEXT(INDEX(MO_SNA_FPStartDate,0,COLUMN()),"YYYYMMDD"),"END_DATE_OVERRIDE",TEXT(INDEX(MO_Common_QEndDate,0,COLUMN()),"YYYYMMDD")),"N/A")</f>
        <v>N/A</v>
      </c>
      <c r="AA777" s="303" t="str">
        <f ca="1">IFERROR(BDP(MO.Ticker.Bloomberg&amp;" Equity","INTERVAL_LOW","MARKET_DATA_OVERRIDE=PX_LAST","START_DATE_OVERRIDE",TEXT(INDEX(MO_SNA_FPStartDate,0,COLUMN()),"YYYYMMDD"),"END_DATE_OVERRIDE",TEXT(INDEX(MO_Common_QEndDate,0,COLUMN()),"YYYYMMDD")),"N/A")</f>
        <v>N/A</v>
      </c>
      <c r="AB777" s="303" t="str">
        <f ca="1">IFERROR(BDP(MO.Ticker.Bloomberg&amp;" Equity","INTERVAL_LOW","MARKET_DATA_OVERRIDE=PX_LAST","START_DATE_OVERRIDE",TEXT(INDEX(MO_SNA_FPStartDate,0,COLUMN()),"YYYYMMDD"),"END_DATE_OVERRIDE",TEXT(INDEX(MO_Common_QEndDate,0,COLUMN()),"YYYYMMDD")),"N/A")</f>
        <v>N/A</v>
      </c>
      <c r="AC777" s="303" t="str">
        <f ca="1">IFERROR(BDP(MO.Ticker.Bloomberg&amp;" Equity","INTERVAL_LOW","MARKET_DATA_OVERRIDE=PX_LAST","START_DATE_OVERRIDE",TEXT(INDEX(MO_SNA_FPStartDate,0,COLUMN()),"YYYYMMDD"),"END_DATE_OVERRIDE",TEXT(INDEX(MO_Common_QEndDate,0,COLUMN()),"YYYYMMDD")),"N/A")</f>
        <v>N/A</v>
      </c>
      <c r="AD777" s="303" t="str">
        <f ca="1">IFERROR(BDP(MO.Ticker.Bloomberg&amp;" Equity","INTERVAL_LOW","MARKET_DATA_OVERRIDE=PX_LAST","START_DATE_OVERRIDE",TEXT(INDEX(MO_SNA_FPStartDate,0,COLUMN()),"YYYYMMDD"),"END_DATE_OVERRIDE",TEXT(INDEX(MO_Common_QEndDate,0,COLUMN()),"YYYYMMDD")),"N/A")</f>
        <v>N/A</v>
      </c>
      <c r="AE777" s="303" t="str">
        <f ca="1">IFERROR(BDP(MO.Ticker.Bloomberg&amp;" Equity","INTERVAL_LOW","MARKET_DATA_OVERRIDE=PX_LAST","START_DATE_OVERRIDE",TEXT(INDEX(MO_SNA_FPStartDate,0,COLUMN()),"YYYYMMDD"),"END_DATE_OVERRIDE",TEXT(INDEX(MO_Common_QEndDate,0,COLUMN()),"YYYYMMDD")),"N/A")</f>
        <v>N/A</v>
      </c>
      <c r="AF777" s="303" t="str">
        <f ca="1">IFERROR(BDP(MO.Ticker.Bloomberg&amp;" Equity","INTERVAL_LOW","MARKET_DATA_OVERRIDE=PX_LAST","START_DATE_OVERRIDE",TEXT(INDEX(MO_SNA_FPStartDate,0,COLUMN()),"YYYYMMDD"),"END_DATE_OVERRIDE",TEXT(INDEX(MO_Common_QEndDate,0,COLUMN()),"YYYYMMDD")),"N/A")</f>
        <v>N/A</v>
      </c>
      <c r="AG777" s="303" t="str">
        <f ca="1">IFERROR(BDP(MO.Ticker.Bloomberg&amp;" Equity","INTERVAL_LOW","MARKET_DATA_OVERRIDE=PX_LAST","START_DATE_OVERRIDE",TEXT(INDEX(MO_SNA_FPStartDate,0,COLUMN()),"YYYYMMDD"),"END_DATE_OVERRIDE",TEXT(INDEX(MO_Common_QEndDate,0,COLUMN()),"YYYYMMDD")),"N/A")</f>
        <v>N/A</v>
      </c>
      <c r="AH777" s="303" t="str">
        <f ca="1">IFERROR(BDP(MO.Ticker.Bloomberg&amp;" Equity","INTERVAL_LOW","MARKET_DATA_OVERRIDE=PX_LAST","START_DATE_OVERRIDE",TEXT(INDEX(MO_SNA_FPStartDate,0,COLUMN()),"YYYYMMDD"),"END_DATE_OVERRIDE",TEXT(INDEX(MO_Common_QEndDate,0,COLUMN()),"YYYYMMDD")),"N/A")</f>
        <v>N/A</v>
      </c>
      <c r="AI777" s="303" t="str">
        <f ca="1">IFERROR(BDP(MO.Ticker.Bloomberg&amp;" Equity","INTERVAL_LOW","MARKET_DATA_OVERRIDE=PX_LAST","START_DATE_OVERRIDE",TEXT(INDEX(MO_SNA_FPStartDate,0,COLUMN()),"YYYYMMDD"),"END_DATE_OVERRIDE",TEXT(INDEX(MO_Common_QEndDate,0,COLUMN()),"YYYYMMDD")),"N/A")</f>
        <v>N/A</v>
      </c>
      <c r="AJ777" s="303" t="str">
        <f ca="1">IFERROR(BDP(MO.Ticker.Bloomberg&amp;" Equity","INTERVAL_LOW","MARKET_DATA_OVERRIDE=PX_LAST","START_DATE_OVERRIDE",TEXT(INDEX(MO_SNA_FPStartDate,0,COLUMN()),"YYYYMMDD"),"END_DATE_OVERRIDE",TEXT(INDEX(MO_Common_QEndDate,0,COLUMN()),"YYYYMMDD")),"N/A")</f>
        <v>N/A</v>
      </c>
      <c r="AK777" s="303" t="str">
        <f ca="1">IFERROR(BDP(MO.Ticker.Bloomberg&amp;" Equity","INTERVAL_LOW","MARKET_DATA_OVERRIDE=PX_LAST","START_DATE_OVERRIDE",TEXT(INDEX(MO_SNA_FPStartDate,0,COLUMN()),"YYYYMMDD"),"END_DATE_OVERRIDE",TEXT(INDEX(MO_Common_QEndDate,0,COLUMN()),"YYYYMMDD")),"N/A")</f>
        <v>N/A</v>
      </c>
      <c r="AL777" s="303" t="str">
        <f ca="1">IFERROR(BDP(MO.Ticker.Bloomberg&amp;" Equity","INTERVAL_LOW","MARKET_DATA_OVERRIDE=PX_LAST","START_DATE_OVERRIDE",TEXT(INDEX(MO_SNA_FPStartDate,0,COLUMN()),"YYYYMMDD"),"END_DATE_OVERRIDE",TEXT(INDEX(MO_Common_QEndDate,0,COLUMN()),"YYYYMMDD")),"N/A")</f>
        <v>N/A</v>
      </c>
      <c r="AM777" s="303" t="str">
        <f ca="1">IFERROR(BDP(MO.Ticker.Bloomberg&amp;" Equity","INTERVAL_LOW","MARKET_DATA_OVERRIDE=PX_LAST","START_DATE_OVERRIDE",TEXT(INDEX(MO_SNA_FPStartDate,0,COLUMN()),"YYYYMMDD"),"END_DATE_OVERRIDE",TEXT(INDEX(MO_Common_QEndDate,0,COLUMN()),"YYYYMMDD")),"N/A")</f>
        <v>N/A</v>
      </c>
      <c r="AN777" s="303" t="str">
        <f ca="1">IFERROR(BDP(MO.Ticker.Bloomberg&amp;" Equity","INTERVAL_LOW","MARKET_DATA_OVERRIDE=PX_LAST","START_DATE_OVERRIDE",TEXT(INDEX(MO_SNA_FPStartDate,0,COLUMN()),"YYYYMMDD"),"END_DATE_OVERRIDE",TEXT(INDEX(MO_Common_QEndDate,0,COLUMN()),"YYYYMMDD")),"N/A")</f>
        <v>N/A</v>
      </c>
      <c r="AO777" s="303" t="str">
        <f ca="1">IFERROR(BDP(MO.Ticker.Bloomberg&amp;" Equity","INTERVAL_LOW","MARKET_DATA_OVERRIDE=PX_LAST","START_DATE_OVERRIDE",TEXT(INDEX(MO_SNA_FPStartDate,0,COLUMN()),"YYYYMMDD"),"END_DATE_OVERRIDE",TEXT(INDEX(MO_Common_QEndDate,0,COLUMN()),"YYYYMMDD")),"N/A")</f>
        <v>N/A</v>
      </c>
      <c r="AP777" s="303" t="str">
        <f ca="1">IFERROR(BDP(MO.Ticker.Bloomberg&amp;" Equity","INTERVAL_LOW","MARKET_DATA_OVERRIDE=PX_LAST","START_DATE_OVERRIDE",TEXT(INDEX(MO_SNA_FPStartDate,0,COLUMN()),"YYYYMMDD"),"END_DATE_OVERRIDE",TEXT(INDEX(MO_Common_QEndDate,0,COLUMN()),"YYYYMMDD")),"N/A")</f>
        <v>N/A</v>
      </c>
      <c r="AQ777" s="303" t="str">
        <f ca="1">IFERROR(BDP(MO.Ticker.Bloomberg&amp;" Equity","INTERVAL_LOW","MARKET_DATA_OVERRIDE=PX_LAST","START_DATE_OVERRIDE",TEXT(INDEX(MO_SNA_FPStartDate,0,COLUMN()),"YYYYMMDD"),"END_DATE_OVERRIDE",TEXT(INDEX(MO_Common_QEndDate,0,COLUMN()),"YYYYMMDD")),"N/A")</f>
        <v>N/A</v>
      </c>
      <c r="AR777" s="303" t="str">
        <f ca="1">IFERROR(BDP(MO.Ticker.Bloomberg&amp;" Equity","INTERVAL_LOW","MARKET_DATA_OVERRIDE=PX_LAST","START_DATE_OVERRIDE",TEXT(INDEX(MO_SNA_FPStartDate,0,COLUMN()),"YYYYMMDD"),"END_DATE_OVERRIDE",TEXT(INDEX(MO_Common_QEndDate,0,COLUMN()),"YYYYMMDD")),"N/A")</f>
        <v>N/A</v>
      </c>
      <c r="AS777" s="303" t="str">
        <f ca="1">IFERROR(BDP(MO.Ticker.Bloomberg&amp;" Equity","INTERVAL_LOW","MARKET_DATA_OVERRIDE=PX_LAST","START_DATE_OVERRIDE",TEXT(INDEX(MO_SNA_FPStartDate,0,COLUMN()),"YYYYMMDD"),"END_DATE_OVERRIDE",TEXT(INDEX(MO_Common_QEndDate,0,COLUMN()),"YYYYMMDD")),"N/A")</f>
        <v>N/A</v>
      </c>
      <c r="AT777" s="303" t="str">
        <f ca="1">IFERROR(BDP(MO.Ticker.Bloomberg&amp;" Equity","INTERVAL_LOW","MARKET_DATA_OVERRIDE=PX_LAST","START_DATE_OVERRIDE",TEXT(INDEX(MO_SNA_FPStartDate,0,COLUMN()),"YYYYMMDD"),"END_DATE_OVERRIDE",TEXT(INDEX(MO_Common_QEndDate,0,COLUMN()),"YYYYMMDD")),"N/A")</f>
        <v>N/A</v>
      </c>
      <c r="AU777" s="303" t="str">
        <f ca="1">IFERROR(BDP(MO.Ticker.Bloomberg&amp;" Equity","INTERVAL_LOW","MARKET_DATA_OVERRIDE=PX_LAST","START_DATE_OVERRIDE",TEXT(INDEX(MO_SNA_FPStartDate,0,COLUMN()),"YYYYMMDD"),"END_DATE_OVERRIDE",TEXT(INDEX(MO_Common_QEndDate,0,COLUMN()),"YYYYMMDD")),"N/A")</f>
        <v>N/A</v>
      </c>
      <c r="AV777" s="303" t="str">
        <f ca="1">IFERROR(BDP(MO.Ticker.Bloomberg&amp;" Equity","INTERVAL_LOW","MARKET_DATA_OVERRIDE=PX_LAST","START_DATE_OVERRIDE",TEXT(INDEX(MO_SNA_FPStartDate,0,COLUMN()),"YYYYMMDD"),"END_DATE_OVERRIDE",TEXT(INDEX(MO_Common_QEndDate,0,COLUMN()),"YYYYMMDD")),"N/A")</f>
        <v>N/A</v>
      </c>
      <c r="AW777" s="604" t="str">
        <f ca="1">IFERROR(BDP(MO.Ticker.Bloomberg&amp;" Equity","INTERVAL_LOW","MARKET_DATA_OVERRIDE=PX_LAST","START_DATE_OVERRIDE",TEXT(INDEX(MO_SNA_FPStartDate,0,COLUMN()),"YYYYMMDD"),"END_DATE_OVERRIDE",TEXT(INDEX(MO_Common_QEndDate,0,COLUMN()),"YYYYMMDD")),"N/A")</f>
        <v>N/A</v>
      </c>
      <c r="AX777" s="303" t="str">
        <f ca="1">IFERROR(BDP(MO.Ticker.Bloomberg&amp;" Equity","INTERVAL_LOW","MARKET_DATA_OVERRIDE=PX_LAST","START_DATE_OVERRIDE",TEXT(INDEX(MO_SNA_FPStartDate,0,COLUMN()),"YYYYMMDD"),"END_DATE_OVERRIDE",TEXT(INDEX(MO_Common_QEndDate,0,COLUMN()),"YYYYMMDD")),"N/A")</f>
        <v>N/A</v>
      </c>
      <c r="AY777" s="303" t="str">
        <f ca="1">IFERROR(BDP(MO.Ticker.Bloomberg&amp;" Equity","INTERVAL_LOW","MARKET_DATA_OVERRIDE=PX_LAST","START_DATE_OVERRIDE",TEXT(INDEX(MO_SNA_FPStartDate,0,COLUMN()),"YYYYMMDD"),"END_DATE_OVERRIDE",TEXT(INDEX(MO_Common_QEndDate,0,COLUMN()),"YYYYMMDD")),"N/A")</f>
        <v>N/A</v>
      </c>
      <c r="AZ777" s="303" t="str">
        <f ca="1">IFERROR(BDP(MO.Ticker.Bloomberg&amp;" Equity","INTERVAL_LOW","MARKET_DATA_OVERRIDE=PX_LAST","START_DATE_OVERRIDE",TEXT(INDEX(MO_SNA_FPStartDate,0,COLUMN()),"YYYYMMDD"),"END_DATE_OVERRIDE",TEXT(INDEX(MO_Common_QEndDate,0,COLUMN()),"YYYYMMDD")),"N/A")</f>
        <v>N/A</v>
      </c>
      <c r="BA777" s="303" t="str">
        <f ca="1">IFERROR(BDP(MO.Ticker.Bloomberg&amp;" Equity","INTERVAL_LOW","MARKET_DATA_OVERRIDE=PX_LAST","START_DATE_OVERRIDE",TEXT(INDEX(MO_SNA_FPStartDate,0,COLUMN()),"YYYYMMDD"),"END_DATE_OVERRIDE",TEXT(INDEX(MO_Common_QEndDate,0,COLUMN()),"YYYYMMDD")),"N/A")</f>
        <v>N/A</v>
      </c>
      <c r="BB777" s="303" t="str">
        <f ca="1">IFERROR(BDP(MO.Ticker.Bloomberg&amp;" Equity","INTERVAL_LOW","MARKET_DATA_OVERRIDE=PX_LAST","START_DATE_OVERRIDE",TEXT(INDEX(MO_SNA_FPStartDate,0,COLUMN()),"YYYYMMDD"),"END_DATE_OVERRIDE",TEXT(INDEX(MO_Common_QEndDate,0,COLUMN()),"YYYYMMDD")),"N/A")</f>
        <v>N/A</v>
      </c>
      <c r="BC777" s="303" t="str">
        <f ca="1">IFERROR(BDP(MO.Ticker.Bloomberg&amp;" Equity","INTERVAL_LOW","MARKET_DATA_OVERRIDE=PX_LAST","START_DATE_OVERRIDE",TEXT(INDEX(MO_SNA_FPStartDate,0,COLUMN()),"YYYYMMDD"),"END_DATE_OVERRIDE",TEXT(INDEX(MO_Common_QEndDate,0,COLUMN()),"YYYYMMDD")),"N/A")</f>
        <v>N/A</v>
      </c>
      <c r="BD777" s="303" t="str">
        <f ca="1">IFERROR(BDP(MO.Ticker.Bloomberg&amp;" Equity","INTERVAL_LOW","MARKET_DATA_OVERRIDE=PX_LAST","START_DATE_OVERRIDE",TEXT(INDEX(MO_SNA_FPStartDate,0,COLUMN()),"YYYYMMDD"),"END_DATE_OVERRIDE",TEXT(INDEX(MO_Common_QEndDate,0,COLUMN()),"YYYYMMDD")),"N/A")</f>
        <v>N/A</v>
      </c>
      <c r="BE777" s="303" t="str">
        <f ca="1">IFERROR(BDP(MO.Ticker.Bloomberg&amp;" Equity","INTERVAL_LOW","MARKET_DATA_OVERRIDE=PX_LAST","START_DATE_OVERRIDE",TEXT(INDEX(MO_SNA_FPStartDate,0,COLUMN()),"YYYYMMDD"),"END_DATE_OVERRIDE",TEXT(INDEX(MO_Common_QEndDate,0,COLUMN()),"YYYYMMDD")),"N/A")</f>
        <v>N/A</v>
      </c>
      <c r="BF777" s="303" t="str">
        <f ca="1">IFERROR(BDP(MO.Ticker.Bloomberg&amp;" Equity","INTERVAL_LOW","MARKET_DATA_OVERRIDE=PX_LAST","START_DATE_OVERRIDE",TEXT(INDEX(MO_SNA_FPStartDate,0,COLUMN()),"YYYYMMDD"),"END_DATE_OVERRIDE",TEXT(INDEX(MO_Common_QEndDate,0,COLUMN()),"YYYYMMDD")),"N/A")</f>
        <v>N/A</v>
      </c>
      <c r="BG777" s="305" t="str">
        <f ca="1">IFERROR(BDP(MO.Ticker.Bloomberg&amp;" Equity","INTERVAL_LOW","MARKET_DATA_OVERRIDE=PX_LAST","START_DATE_OVERRIDE",TEXT(INDEX(MO_SNA_FPStartDate,0,COLUMN()),"YYYYMMDD"),"END_DATE_OVERRIDE",TEXT(INDEX(MO_Common_QEndDate,0,COLUMN()),"YYYYMMDD")),"N/A")</f>
        <v>N/A</v>
      </c>
      <c r="BH777" s="277"/>
    </row>
    <row r="778" spans="1:60" customFormat="1" hidden="1" outlineLevel="1" x14ac:dyDescent="0.25">
      <c r="A778" s="306" t="s">
        <v>263</v>
      </c>
      <c r="B778" s="303"/>
      <c r="C778" s="304" t="str">
        <f ca="1">IFERROR(CIQLO(MO.Ticker.CapIQ,"IQ_LASTSALEPRICE",INDEX(MO_SNA_FPStartDate,0,COLUMN()),INDEX(MO_Common_QEndDate,0,COLUMN())),"N/A")</f>
        <v>N/A</v>
      </c>
      <c r="D778" s="304" t="str">
        <f ca="1">IFERROR(CIQLO(MO.Ticker.CapIQ,"IQ_LASTSALEPRICE",INDEX(MO_SNA_FPStartDate,0,COLUMN()),INDEX(MO_Common_QEndDate,0,COLUMN())),"N/A")</f>
        <v>N/A</v>
      </c>
      <c r="E778" s="303" t="str">
        <f ca="1">IFERROR(CIQLO(MO.Ticker.CapIQ,"IQ_LASTSALEPRICE",INDEX(MO_SNA_FPStartDate,0,COLUMN()),INDEX(MO_Common_QEndDate,0,COLUMN())),"N/A")</f>
        <v>N/A</v>
      </c>
      <c r="F778" s="303" t="str">
        <f ca="1">IFERROR(CIQLO(MO.Ticker.CapIQ,"IQ_LASTSALEPRICE",INDEX(MO_SNA_FPStartDate,0,COLUMN()),INDEX(MO_Common_QEndDate,0,COLUMN())),"N/A")</f>
        <v>N/A</v>
      </c>
      <c r="G778" s="303" t="str">
        <f ca="1">IFERROR(CIQLO(MO.Ticker.CapIQ,"IQ_LASTSALEPRICE",INDEX(MO_SNA_FPStartDate,0,COLUMN()),INDEX(MO_Common_QEndDate,0,COLUMN())),"N/A")</f>
        <v>N/A</v>
      </c>
      <c r="H778" s="303" t="str">
        <f ca="1">IFERROR(CIQLO(MO.Ticker.CapIQ,"IQ_LASTSALEPRICE",INDEX(MO_SNA_FPStartDate,0,COLUMN()),INDEX(MO_Common_QEndDate,0,COLUMN())),"N/A")</f>
        <v>N/A</v>
      </c>
      <c r="I778" s="303" t="str">
        <f ca="1">IFERROR(CIQLO(MO.Ticker.CapIQ,"IQ_LASTSALEPRICE",INDEX(MO_SNA_FPStartDate,0,COLUMN()),INDEX(MO_Common_QEndDate,0,COLUMN())),"N/A")</f>
        <v>N/A</v>
      </c>
      <c r="J778" s="303" t="str">
        <f ca="1">IFERROR(CIQLO(MO.Ticker.CapIQ,"IQ_LASTSALEPRICE",INDEX(MO_SNA_FPStartDate,0,COLUMN()),INDEX(MO_Common_QEndDate,0,COLUMN())),"N/A")</f>
        <v>N/A</v>
      </c>
      <c r="K778" s="303" t="str">
        <f ca="1">IFERROR(CIQLO(MO.Ticker.CapIQ,"IQ_LASTSALEPRICE",INDEX(MO_SNA_FPStartDate,0,COLUMN()),INDEX(MO_Common_QEndDate,0,COLUMN())),"N/A")</f>
        <v>N/A</v>
      </c>
      <c r="L778" s="303" t="str">
        <f ca="1">IFERROR(CIQLO(MO.Ticker.CapIQ,"IQ_LASTSALEPRICE",INDEX(MO_SNA_FPStartDate,0,COLUMN()),INDEX(MO_Common_QEndDate,0,COLUMN())),"N/A")</f>
        <v>N/A</v>
      </c>
      <c r="M778" s="303" t="str">
        <f ca="1">IFERROR(CIQLO(MO.Ticker.CapIQ,"IQ_LASTSALEPRICE",INDEX(MO_SNA_FPStartDate,0,COLUMN()),INDEX(MO_Common_QEndDate,0,COLUMN())),"N/A")</f>
        <v>N/A</v>
      </c>
      <c r="N778" s="303" t="str">
        <f ca="1">IFERROR(CIQLO(MO.Ticker.CapIQ,"IQ_LASTSALEPRICE",INDEX(MO_SNA_FPStartDate,0,COLUMN()),INDEX(MO_Common_QEndDate,0,COLUMN())),"N/A")</f>
        <v>N/A</v>
      </c>
      <c r="O778" s="303" t="str">
        <f ca="1">IFERROR(CIQLO(MO.Ticker.CapIQ,"IQ_LASTSALEPRICE",INDEX(MO_SNA_FPStartDate,0,COLUMN()),INDEX(MO_Common_QEndDate,0,COLUMN())),"N/A")</f>
        <v>N/A</v>
      </c>
      <c r="P778" s="303" t="str">
        <f ca="1">IFERROR(CIQLO(MO.Ticker.CapIQ,"IQ_LASTSALEPRICE",INDEX(MO_SNA_FPStartDate,0,COLUMN()),INDEX(MO_Common_QEndDate,0,COLUMN())),"N/A")</f>
        <v>N/A</v>
      </c>
      <c r="Q778" s="303" t="str">
        <f ca="1">IFERROR(CIQLO(MO.Ticker.CapIQ,"IQ_LASTSALEPRICE",INDEX(MO_SNA_FPStartDate,0,COLUMN()),INDEX(MO_Common_QEndDate,0,COLUMN())),"N/A")</f>
        <v>N/A</v>
      </c>
      <c r="R778" s="303" t="str">
        <f ca="1">IFERROR(CIQLO(MO.Ticker.CapIQ,"IQ_LASTSALEPRICE",INDEX(MO_SNA_FPStartDate,0,COLUMN()),INDEX(MO_Common_QEndDate,0,COLUMN())),"N/A")</f>
        <v>N/A</v>
      </c>
      <c r="S778" s="303" t="str">
        <f ca="1">IFERROR(CIQLO(MO.Ticker.CapIQ,"IQ_LASTSALEPRICE",INDEX(MO_SNA_FPStartDate,0,COLUMN()),INDEX(MO_Common_QEndDate,0,COLUMN())),"N/A")</f>
        <v>N/A</v>
      </c>
      <c r="T778" s="303" t="str">
        <f ca="1">IFERROR(CIQLO(MO.Ticker.CapIQ,"IQ_LASTSALEPRICE",INDEX(MO_SNA_FPStartDate,0,COLUMN()),INDEX(MO_Common_QEndDate,0,COLUMN())),"N/A")</f>
        <v>N/A</v>
      </c>
      <c r="U778" s="303" t="str">
        <f ca="1">IFERROR(CIQLO(MO.Ticker.CapIQ,"IQ_LASTSALEPRICE",INDEX(MO_SNA_FPStartDate,0,COLUMN()),INDEX(MO_Common_QEndDate,0,COLUMN())),"N/A")</f>
        <v>N/A</v>
      </c>
      <c r="V778" s="303" t="str">
        <f ca="1">IFERROR(CIQLO(MO.Ticker.CapIQ,"IQ_LASTSALEPRICE",INDEX(MO_SNA_FPStartDate,0,COLUMN()),INDEX(MO_Common_QEndDate,0,COLUMN())),"N/A")</f>
        <v>N/A</v>
      </c>
      <c r="W778" s="303" t="str">
        <f ca="1">IFERROR(CIQLO(MO.Ticker.CapIQ,"IQ_LASTSALEPRICE",INDEX(MO_SNA_FPStartDate,0,COLUMN()),INDEX(MO_Common_QEndDate,0,COLUMN())),"N/A")</f>
        <v>N/A</v>
      </c>
      <c r="X778" s="303" t="str">
        <f ca="1">IFERROR(CIQLO(MO.Ticker.CapIQ,"IQ_LASTSALEPRICE",INDEX(MO_SNA_FPStartDate,0,COLUMN()),INDEX(MO_Common_QEndDate,0,COLUMN())),"N/A")</f>
        <v>N/A</v>
      </c>
      <c r="Y778" s="303" t="str">
        <f ca="1">IFERROR(CIQLO(MO.Ticker.CapIQ,"IQ_LASTSALEPRICE",INDEX(MO_SNA_FPStartDate,0,COLUMN()),INDEX(MO_Common_QEndDate,0,COLUMN())),"N/A")</f>
        <v>N/A</v>
      </c>
      <c r="Z778" s="303" t="str">
        <f ca="1">IFERROR(CIQLO(MO.Ticker.CapIQ,"IQ_LASTSALEPRICE",INDEX(MO_SNA_FPStartDate,0,COLUMN()),INDEX(MO_Common_QEndDate,0,COLUMN())),"N/A")</f>
        <v>N/A</v>
      </c>
      <c r="AA778" s="303" t="str">
        <f ca="1">IFERROR(CIQLO(MO.Ticker.CapIQ,"IQ_LASTSALEPRICE",INDEX(MO_SNA_FPStartDate,0,COLUMN()),INDEX(MO_Common_QEndDate,0,COLUMN())),"N/A")</f>
        <v>N/A</v>
      </c>
      <c r="AB778" s="303" t="str">
        <f ca="1">IFERROR(CIQLO(MO.Ticker.CapIQ,"IQ_LASTSALEPRICE",INDEX(MO_SNA_FPStartDate,0,COLUMN()),INDEX(MO_Common_QEndDate,0,COLUMN())),"N/A")</f>
        <v>N/A</v>
      </c>
      <c r="AC778" s="303" t="str">
        <f ca="1">IFERROR(CIQLO(MO.Ticker.CapIQ,"IQ_LASTSALEPRICE",INDEX(MO_SNA_FPStartDate,0,COLUMN()),INDEX(MO_Common_QEndDate,0,COLUMN())),"N/A")</f>
        <v>N/A</v>
      </c>
      <c r="AD778" s="303" t="str">
        <f ca="1">IFERROR(CIQLO(MO.Ticker.CapIQ,"IQ_LASTSALEPRICE",INDEX(MO_SNA_FPStartDate,0,COLUMN()),INDEX(MO_Common_QEndDate,0,COLUMN())),"N/A")</f>
        <v>N/A</v>
      </c>
      <c r="AE778" s="303" t="str">
        <f ca="1">IFERROR(CIQLO(MO.Ticker.CapIQ,"IQ_LASTSALEPRICE",INDEX(MO_SNA_FPStartDate,0,COLUMN()),INDEX(MO_Common_QEndDate,0,COLUMN())),"N/A")</f>
        <v>N/A</v>
      </c>
      <c r="AF778" s="303" t="str">
        <f ca="1">IFERROR(CIQLO(MO.Ticker.CapIQ,"IQ_LASTSALEPRICE",INDEX(MO_SNA_FPStartDate,0,COLUMN()),INDEX(MO_Common_QEndDate,0,COLUMN())),"N/A")</f>
        <v>N/A</v>
      </c>
      <c r="AG778" s="303" t="str">
        <f ca="1">IFERROR(CIQLO(MO.Ticker.CapIQ,"IQ_LASTSALEPRICE",INDEX(MO_SNA_FPStartDate,0,COLUMN()),INDEX(MO_Common_QEndDate,0,COLUMN())),"N/A")</f>
        <v>N/A</v>
      </c>
      <c r="AH778" s="303" t="str">
        <f ca="1">IFERROR(CIQLO(MO.Ticker.CapIQ,"IQ_LASTSALEPRICE",INDEX(MO_SNA_FPStartDate,0,COLUMN()),INDEX(MO_Common_QEndDate,0,COLUMN())),"N/A")</f>
        <v>N/A</v>
      </c>
      <c r="AI778" s="303" t="str">
        <f ca="1">IFERROR(CIQLO(MO.Ticker.CapIQ,"IQ_LASTSALEPRICE",INDEX(MO_SNA_FPStartDate,0,COLUMN()),INDEX(MO_Common_QEndDate,0,COLUMN())),"N/A")</f>
        <v>N/A</v>
      </c>
      <c r="AJ778" s="303" t="str">
        <f ca="1">IFERROR(CIQLO(MO.Ticker.CapIQ,"IQ_LASTSALEPRICE",INDEX(MO_SNA_FPStartDate,0,COLUMN()),INDEX(MO_Common_QEndDate,0,COLUMN())),"N/A")</f>
        <v>N/A</v>
      </c>
      <c r="AK778" s="303" t="str">
        <f ca="1">IFERROR(CIQLO(MO.Ticker.CapIQ,"IQ_LASTSALEPRICE",INDEX(MO_SNA_FPStartDate,0,COLUMN()),INDEX(MO_Common_QEndDate,0,COLUMN())),"N/A")</f>
        <v>N/A</v>
      </c>
      <c r="AL778" s="303" t="str">
        <f ca="1">IFERROR(CIQLO(MO.Ticker.CapIQ,"IQ_LASTSALEPRICE",INDEX(MO_SNA_FPStartDate,0,COLUMN()),INDEX(MO_Common_QEndDate,0,COLUMN())),"N/A")</f>
        <v>N/A</v>
      </c>
      <c r="AM778" s="303" t="str">
        <f ca="1">IFERROR(CIQLO(MO.Ticker.CapIQ,"IQ_LASTSALEPRICE",INDEX(MO_SNA_FPStartDate,0,COLUMN()),INDEX(MO_Common_QEndDate,0,COLUMN())),"N/A")</f>
        <v>N/A</v>
      </c>
      <c r="AN778" s="303" t="str">
        <f ca="1">IFERROR(CIQLO(MO.Ticker.CapIQ,"IQ_LASTSALEPRICE",INDEX(MO_SNA_FPStartDate,0,COLUMN()),INDEX(MO_Common_QEndDate,0,COLUMN())),"N/A")</f>
        <v>N/A</v>
      </c>
      <c r="AO778" s="303" t="str">
        <f ca="1">IFERROR(CIQLO(MO.Ticker.CapIQ,"IQ_LASTSALEPRICE",INDEX(MO_SNA_FPStartDate,0,COLUMN()),INDEX(MO_Common_QEndDate,0,COLUMN())),"N/A")</f>
        <v>N/A</v>
      </c>
      <c r="AP778" s="303" t="str">
        <f ca="1">IFERROR(CIQLO(MO.Ticker.CapIQ,"IQ_LASTSALEPRICE",INDEX(MO_SNA_FPStartDate,0,COLUMN()),INDEX(MO_Common_QEndDate,0,COLUMN())),"N/A")</f>
        <v>N/A</v>
      </c>
      <c r="AQ778" s="303" t="str">
        <f ca="1">IFERROR(CIQLO(MO.Ticker.CapIQ,"IQ_LASTSALEPRICE",INDEX(MO_SNA_FPStartDate,0,COLUMN()),INDEX(MO_Common_QEndDate,0,COLUMN())),"N/A")</f>
        <v>N/A</v>
      </c>
      <c r="AR778" s="303" t="str">
        <f ca="1">IFERROR(CIQLO(MO.Ticker.CapIQ,"IQ_LASTSALEPRICE",INDEX(MO_SNA_FPStartDate,0,COLUMN()),INDEX(MO_Common_QEndDate,0,COLUMN())),"N/A")</f>
        <v>N/A</v>
      </c>
      <c r="AS778" s="303" t="str">
        <f ca="1">IFERROR(CIQLO(MO.Ticker.CapIQ,"IQ_LASTSALEPRICE",INDEX(MO_SNA_FPStartDate,0,COLUMN()),INDEX(MO_Common_QEndDate,0,COLUMN())),"N/A")</f>
        <v>N/A</v>
      </c>
      <c r="AT778" s="303" t="str">
        <f ca="1">IFERROR(CIQLO(MO.Ticker.CapIQ,"IQ_LASTSALEPRICE",INDEX(MO_SNA_FPStartDate,0,COLUMN()),INDEX(MO_Common_QEndDate,0,COLUMN())),"N/A")</f>
        <v>N/A</v>
      </c>
      <c r="AU778" s="303" t="str">
        <f ca="1">IFERROR(CIQLO(MO.Ticker.CapIQ,"IQ_LASTSALEPRICE",INDEX(MO_SNA_FPStartDate,0,COLUMN()),INDEX(MO_Common_QEndDate,0,COLUMN())),"N/A")</f>
        <v>N/A</v>
      </c>
      <c r="AV778" s="303" t="str">
        <f ca="1">IFERROR(CIQLO(MO.Ticker.CapIQ,"IQ_LASTSALEPRICE",INDEX(MO_SNA_FPStartDate,0,COLUMN()),INDEX(MO_Common_QEndDate,0,COLUMN())),"N/A")</f>
        <v>N/A</v>
      </c>
      <c r="AW778" s="604" t="str">
        <f ca="1">IFERROR(CIQLO(MO.Ticker.CapIQ,"IQ_LASTSALEPRICE",INDEX(MO_SNA_FPStartDate,0,COLUMN()),INDEX(MO_Common_QEndDate,0,COLUMN())),"N/A")</f>
        <v>N/A</v>
      </c>
      <c r="AX778" s="303" t="str">
        <f ca="1">IFERROR(CIQLO(MO.Ticker.CapIQ,"IQ_LASTSALEPRICE",INDEX(MO_SNA_FPStartDate,0,COLUMN()),INDEX(MO_Common_QEndDate,0,COLUMN())),"N/A")</f>
        <v>N/A</v>
      </c>
      <c r="AY778" s="303" t="str">
        <f ca="1">IFERROR(CIQLO(MO.Ticker.CapIQ,"IQ_LASTSALEPRICE",INDEX(MO_SNA_FPStartDate,0,COLUMN()),INDEX(MO_Common_QEndDate,0,COLUMN())),"N/A")</f>
        <v>N/A</v>
      </c>
      <c r="AZ778" s="303" t="str">
        <f ca="1">IFERROR(CIQLO(MO.Ticker.CapIQ,"IQ_LASTSALEPRICE",INDEX(MO_SNA_FPStartDate,0,COLUMN()),INDEX(MO_Common_QEndDate,0,COLUMN())),"N/A")</f>
        <v>N/A</v>
      </c>
      <c r="BA778" s="303" t="str">
        <f ca="1">IFERROR(CIQLO(MO.Ticker.CapIQ,"IQ_LASTSALEPRICE",INDEX(MO_SNA_FPStartDate,0,COLUMN()),INDEX(MO_Common_QEndDate,0,COLUMN())),"N/A")</f>
        <v>N/A</v>
      </c>
      <c r="BB778" s="303" t="str">
        <f ca="1">IFERROR(CIQLO(MO.Ticker.CapIQ,"IQ_LASTSALEPRICE",INDEX(MO_SNA_FPStartDate,0,COLUMN()),INDEX(MO_Common_QEndDate,0,COLUMN())),"N/A")</f>
        <v>N/A</v>
      </c>
      <c r="BC778" s="303" t="str">
        <f ca="1">IFERROR(CIQLO(MO.Ticker.CapIQ,"IQ_LASTSALEPRICE",INDEX(MO_SNA_FPStartDate,0,COLUMN()),INDEX(MO_Common_QEndDate,0,COLUMN())),"N/A")</f>
        <v>N/A</v>
      </c>
      <c r="BD778" s="303" t="str">
        <f ca="1">IFERROR(CIQLO(MO.Ticker.CapIQ,"IQ_LASTSALEPRICE",INDEX(MO_SNA_FPStartDate,0,COLUMN()),INDEX(MO_Common_QEndDate,0,COLUMN())),"N/A")</f>
        <v>N/A</v>
      </c>
      <c r="BE778" s="303" t="str">
        <f ca="1">IFERROR(CIQLO(MO.Ticker.CapIQ,"IQ_LASTSALEPRICE",INDEX(MO_SNA_FPStartDate,0,COLUMN()),INDEX(MO_Common_QEndDate,0,COLUMN())),"N/A")</f>
        <v>N/A</v>
      </c>
      <c r="BF778" s="303" t="str">
        <f ca="1">IFERROR(CIQLO(MO.Ticker.CapIQ,"IQ_LASTSALEPRICE",INDEX(MO_SNA_FPStartDate,0,COLUMN()),INDEX(MO_Common_QEndDate,0,COLUMN())),"N/A")</f>
        <v>N/A</v>
      </c>
      <c r="BG778" s="305" t="str">
        <f ca="1">IFERROR(CIQLO(MO.Ticker.CapIQ,"IQ_LASTSALEPRICE",INDEX(MO_SNA_FPStartDate,0,COLUMN()),INDEX(MO_Common_QEndDate,0,COLUMN())),"N/A")</f>
        <v>N/A</v>
      </c>
      <c r="BH778" s="277"/>
    </row>
    <row r="779" spans="1:60" customFormat="1" hidden="1" outlineLevel="1" x14ac:dyDescent="0.25">
      <c r="A779" s="306" t="s">
        <v>264</v>
      </c>
      <c r="B779" s="303"/>
      <c r="C779" s="304" t="str">
        <f ca="1">IFERROR(FDS(MO.Ticker.FactSet,"P_PRICE_LOW"&amp;"("&amp;INDEX(MO_SNA_FPStartDate,0,COLUMN())&amp;","&amp;INDEX(MO_Common_QEndDate,0,COLUMN())&amp;",,,,""PRICE"",""CLOSE"")"),"N/A")</f>
        <v>N/A</v>
      </c>
      <c r="D779" s="304" t="str">
        <f ca="1">IFERROR(FDS(MO.Ticker.FactSet,"P_PRICE_LOW"&amp;"("&amp;INDEX(MO_SNA_FPStartDate,0,COLUMN())&amp;","&amp;INDEX(MO_Common_QEndDate,0,COLUMN())&amp;",,,,""PRICE"",""CLOSE"")"),"N/A")</f>
        <v>N/A</v>
      </c>
      <c r="E779" s="303" t="str">
        <f ca="1">IFERROR(FDS(MO.Ticker.FactSet,"P_PRICE_LOW"&amp;"("&amp;INDEX(MO_SNA_FPStartDate,0,COLUMN())&amp;","&amp;INDEX(MO_Common_QEndDate,0,COLUMN())&amp;",,,,""PRICE"",""CLOSE"")"),"N/A")</f>
        <v>N/A</v>
      </c>
      <c r="F779" s="303" t="str">
        <f ca="1">IFERROR(FDS(MO.Ticker.FactSet,"P_PRICE_LOW"&amp;"("&amp;INDEX(MO_SNA_FPStartDate,0,COLUMN())&amp;","&amp;INDEX(MO_Common_QEndDate,0,COLUMN())&amp;",,,,""PRICE"",""CLOSE"")"),"N/A")</f>
        <v>N/A</v>
      </c>
      <c r="G779" s="303" t="str">
        <f ca="1">IFERROR(FDS(MO.Ticker.FactSet,"P_PRICE_LOW"&amp;"("&amp;INDEX(MO_SNA_FPStartDate,0,COLUMN())&amp;","&amp;INDEX(MO_Common_QEndDate,0,COLUMN())&amp;",,,,""PRICE"",""CLOSE"")"),"N/A")</f>
        <v>N/A</v>
      </c>
      <c r="H779" s="303" t="str">
        <f ca="1">IFERROR(FDS(MO.Ticker.FactSet,"P_PRICE_LOW"&amp;"("&amp;INDEX(MO_SNA_FPStartDate,0,COLUMN())&amp;","&amp;INDEX(MO_Common_QEndDate,0,COLUMN())&amp;",,,,""PRICE"",""CLOSE"")"),"N/A")</f>
        <v>N/A</v>
      </c>
      <c r="I779" s="303" t="str">
        <f ca="1">IFERROR(FDS(MO.Ticker.FactSet,"P_PRICE_LOW"&amp;"("&amp;INDEX(MO_SNA_FPStartDate,0,COLUMN())&amp;","&amp;INDEX(MO_Common_QEndDate,0,COLUMN())&amp;",,,,""PRICE"",""CLOSE"")"),"N/A")</f>
        <v>N/A</v>
      </c>
      <c r="J779" s="303" t="str">
        <f ca="1">IFERROR(FDS(MO.Ticker.FactSet,"P_PRICE_LOW"&amp;"("&amp;INDEX(MO_SNA_FPStartDate,0,COLUMN())&amp;","&amp;INDEX(MO_Common_QEndDate,0,COLUMN())&amp;",,,,""PRICE"",""CLOSE"")"),"N/A")</f>
        <v>N/A</v>
      </c>
      <c r="K779" s="303" t="str">
        <f ca="1">IFERROR(FDS(MO.Ticker.FactSet,"P_PRICE_LOW"&amp;"("&amp;INDEX(MO_SNA_FPStartDate,0,COLUMN())&amp;","&amp;INDEX(MO_Common_QEndDate,0,COLUMN())&amp;",,,,""PRICE"",""CLOSE"")"),"N/A")</f>
        <v>N/A</v>
      </c>
      <c r="L779" s="303" t="str">
        <f ca="1">IFERROR(FDS(MO.Ticker.FactSet,"P_PRICE_LOW"&amp;"("&amp;INDEX(MO_SNA_FPStartDate,0,COLUMN())&amp;","&amp;INDEX(MO_Common_QEndDate,0,COLUMN())&amp;",,,,""PRICE"",""CLOSE"")"),"N/A")</f>
        <v>N/A</v>
      </c>
      <c r="M779" s="303" t="str">
        <f ca="1">IFERROR(FDS(MO.Ticker.FactSet,"P_PRICE_LOW"&amp;"("&amp;INDEX(MO_SNA_FPStartDate,0,COLUMN())&amp;","&amp;INDEX(MO_Common_QEndDate,0,COLUMN())&amp;",,,,""PRICE"",""CLOSE"")"),"N/A")</f>
        <v>N/A</v>
      </c>
      <c r="N779" s="303" t="str">
        <f ca="1">IFERROR(FDS(MO.Ticker.FactSet,"P_PRICE_LOW"&amp;"("&amp;INDEX(MO_SNA_FPStartDate,0,COLUMN())&amp;","&amp;INDEX(MO_Common_QEndDate,0,COLUMN())&amp;",,,,""PRICE"",""CLOSE"")"),"N/A")</f>
        <v>N/A</v>
      </c>
      <c r="O779" s="303" t="str">
        <f ca="1">IFERROR(FDS(MO.Ticker.FactSet,"P_PRICE_LOW"&amp;"("&amp;INDEX(MO_SNA_FPStartDate,0,COLUMN())&amp;","&amp;INDEX(MO_Common_QEndDate,0,COLUMN())&amp;",,,,""PRICE"",""CLOSE"")"),"N/A")</f>
        <v>N/A</v>
      </c>
      <c r="P779" s="303" t="str">
        <f ca="1">IFERROR(FDS(MO.Ticker.FactSet,"P_PRICE_LOW"&amp;"("&amp;INDEX(MO_SNA_FPStartDate,0,COLUMN())&amp;","&amp;INDEX(MO_Common_QEndDate,0,COLUMN())&amp;",,,,""PRICE"",""CLOSE"")"),"N/A")</f>
        <v>N/A</v>
      </c>
      <c r="Q779" s="303" t="str">
        <f ca="1">IFERROR(FDS(MO.Ticker.FactSet,"P_PRICE_LOW"&amp;"("&amp;INDEX(MO_SNA_FPStartDate,0,COLUMN())&amp;","&amp;INDEX(MO_Common_QEndDate,0,COLUMN())&amp;",,,,""PRICE"",""CLOSE"")"),"N/A")</f>
        <v>N/A</v>
      </c>
      <c r="R779" s="303" t="str">
        <f ca="1">IFERROR(FDS(MO.Ticker.FactSet,"P_PRICE_LOW"&amp;"("&amp;INDEX(MO_SNA_FPStartDate,0,COLUMN())&amp;","&amp;INDEX(MO_Common_QEndDate,0,COLUMN())&amp;",,,,""PRICE"",""CLOSE"")"),"N/A")</f>
        <v>N/A</v>
      </c>
      <c r="S779" s="303" t="str">
        <f ca="1">IFERROR(FDS(MO.Ticker.FactSet,"P_PRICE_LOW"&amp;"("&amp;INDEX(MO_SNA_FPStartDate,0,COLUMN())&amp;","&amp;INDEX(MO_Common_QEndDate,0,COLUMN())&amp;",,,,""PRICE"",""CLOSE"")"),"N/A")</f>
        <v>N/A</v>
      </c>
      <c r="T779" s="303" t="str">
        <f ca="1">IFERROR(FDS(MO.Ticker.FactSet,"P_PRICE_LOW"&amp;"("&amp;INDEX(MO_SNA_FPStartDate,0,COLUMN())&amp;","&amp;INDEX(MO_Common_QEndDate,0,COLUMN())&amp;",,,,""PRICE"",""CLOSE"")"),"N/A")</f>
        <v>N/A</v>
      </c>
      <c r="U779" s="303" t="str">
        <f ca="1">IFERROR(FDS(MO.Ticker.FactSet,"P_PRICE_LOW"&amp;"("&amp;INDEX(MO_SNA_FPStartDate,0,COLUMN())&amp;","&amp;INDEX(MO_Common_QEndDate,0,COLUMN())&amp;",,,,""PRICE"",""CLOSE"")"),"N/A")</f>
        <v>N/A</v>
      </c>
      <c r="V779" s="303" t="str">
        <f ca="1">IFERROR(FDS(MO.Ticker.FactSet,"P_PRICE_LOW"&amp;"("&amp;INDEX(MO_SNA_FPStartDate,0,COLUMN())&amp;","&amp;INDEX(MO_Common_QEndDate,0,COLUMN())&amp;",,,,""PRICE"",""CLOSE"")"),"N/A")</f>
        <v>N/A</v>
      </c>
      <c r="W779" s="303" t="str">
        <f ca="1">IFERROR(FDS(MO.Ticker.FactSet,"P_PRICE_LOW"&amp;"("&amp;INDEX(MO_SNA_FPStartDate,0,COLUMN())&amp;","&amp;INDEX(MO_Common_QEndDate,0,COLUMN())&amp;",,,,""PRICE"",""CLOSE"")"),"N/A")</f>
        <v>N/A</v>
      </c>
      <c r="X779" s="303" t="str">
        <f ca="1">IFERROR(FDS(MO.Ticker.FactSet,"P_PRICE_LOW"&amp;"("&amp;INDEX(MO_SNA_FPStartDate,0,COLUMN())&amp;","&amp;INDEX(MO_Common_QEndDate,0,COLUMN())&amp;",,,,""PRICE"",""CLOSE"")"),"N/A")</f>
        <v>N/A</v>
      </c>
      <c r="Y779" s="303" t="str">
        <f ca="1">IFERROR(FDS(MO.Ticker.FactSet,"P_PRICE_LOW"&amp;"("&amp;INDEX(MO_SNA_FPStartDate,0,COLUMN())&amp;","&amp;INDEX(MO_Common_QEndDate,0,COLUMN())&amp;",,,,""PRICE"",""CLOSE"")"),"N/A")</f>
        <v>N/A</v>
      </c>
      <c r="Z779" s="303" t="str">
        <f ca="1">IFERROR(FDS(MO.Ticker.FactSet,"P_PRICE_LOW"&amp;"("&amp;INDEX(MO_SNA_FPStartDate,0,COLUMN())&amp;","&amp;INDEX(MO_Common_QEndDate,0,COLUMN())&amp;",,,,""PRICE"",""CLOSE"")"),"N/A")</f>
        <v>N/A</v>
      </c>
      <c r="AA779" s="303" t="str">
        <f ca="1">IFERROR(FDS(MO.Ticker.FactSet,"P_PRICE_LOW"&amp;"("&amp;INDEX(MO_SNA_FPStartDate,0,COLUMN())&amp;","&amp;INDEX(MO_Common_QEndDate,0,COLUMN())&amp;",,,,""PRICE"",""CLOSE"")"),"N/A")</f>
        <v>N/A</v>
      </c>
      <c r="AB779" s="303" t="str">
        <f ca="1">IFERROR(FDS(MO.Ticker.FactSet,"P_PRICE_LOW"&amp;"("&amp;INDEX(MO_SNA_FPStartDate,0,COLUMN())&amp;","&amp;INDEX(MO_Common_QEndDate,0,COLUMN())&amp;",,,,""PRICE"",""CLOSE"")"),"N/A")</f>
        <v>N/A</v>
      </c>
      <c r="AC779" s="303" t="str">
        <f ca="1">IFERROR(FDS(MO.Ticker.FactSet,"P_PRICE_LOW"&amp;"("&amp;INDEX(MO_SNA_FPStartDate,0,COLUMN())&amp;","&amp;INDEX(MO_Common_QEndDate,0,COLUMN())&amp;",,,,""PRICE"",""CLOSE"")"),"N/A")</f>
        <v>N/A</v>
      </c>
      <c r="AD779" s="303" t="str">
        <f ca="1">IFERROR(FDS(MO.Ticker.FactSet,"P_PRICE_LOW"&amp;"("&amp;INDEX(MO_SNA_FPStartDate,0,COLUMN())&amp;","&amp;INDEX(MO_Common_QEndDate,0,COLUMN())&amp;",,,,""PRICE"",""CLOSE"")"),"N/A")</f>
        <v>N/A</v>
      </c>
      <c r="AE779" s="303" t="str">
        <f ca="1">IFERROR(FDS(MO.Ticker.FactSet,"P_PRICE_LOW"&amp;"("&amp;INDEX(MO_SNA_FPStartDate,0,COLUMN())&amp;","&amp;INDEX(MO_Common_QEndDate,0,COLUMN())&amp;",,,,""PRICE"",""CLOSE"")"),"N/A")</f>
        <v>N/A</v>
      </c>
      <c r="AF779" s="303" t="str">
        <f ca="1">IFERROR(FDS(MO.Ticker.FactSet,"P_PRICE_LOW"&amp;"("&amp;INDEX(MO_SNA_FPStartDate,0,COLUMN())&amp;","&amp;INDEX(MO_Common_QEndDate,0,COLUMN())&amp;",,,,""PRICE"",""CLOSE"")"),"N/A")</f>
        <v>N/A</v>
      </c>
      <c r="AG779" s="303" t="str">
        <f ca="1">IFERROR(FDS(MO.Ticker.FactSet,"P_PRICE_LOW"&amp;"("&amp;INDEX(MO_SNA_FPStartDate,0,COLUMN())&amp;","&amp;INDEX(MO_Common_QEndDate,0,COLUMN())&amp;",,,,""PRICE"",""CLOSE"")"),"N/A")</f>
        <v>N/A</v>
      </c>
      <c r="AH779" s="303" t="str">
        <f ca="1">IFERROR(FDS(MO.Ticker.FactSet,"P_PRICE_LOW"&amp;"("&amp;INDEX(MO_SNA_FPStartDate,0,COLUMN())&amp;","&amp;INDEX(MO_Common_QEndDate,0,COLUMN())&amp;",,,,""PRICE"",""CLOSE"")"),"N/A")</f>
        <v>N/A</v>
      </c>
      <c r="AI779" s="303" t="str">
        <f ca="1">IFERROR(FDS(MO.Ticker.FactSet,"P_PRICE_LOW"&amp;"("&amp;INDEX(MO_SNA_FPStartDate,0,COLUMN())&amp;","&amp;INDEX(MO_Common_QEndDate,0,COLUMN())&amp;",,,,""PRICE"",""CLOSE"")"),"N/A")</f>
        <v>N/A</v>
      </c>
      <c r="AJ779" s="303" t="str">
        <f ca="1">IFERROR(FDS(MO.Ticker.FactSet,"P_PRICE_LOW"&amp;"("&amp;INDEX(MO_SNA_FPStartDate,0,COLUMN())&amp;","&amp;INDEX(MO_Common_QEndDate,0,COLUMN())&amp;",,,,""PRICE"",""CLOSE"")"),"N/A")</f>
        <v>N/A</v>
      </c>
      <c r="AK779" s="303" t="str">
        <f ca="1">IFERROR(FDS(MO.Ticker.FactSet,"P_PRICE_LOW"&amp;"("&amp;INDEX(MO_SNA_FPStartDate,0,COLUMN())&amp;","&amp;INDEX(MO_Common_QEndDate,0,COLUMN())&amp;",,,,""PRICE"",""CLOSE"")"),"N/A")</f>
        <v>N/A</v>
      </c>
      <c r="AL779" s="303" t="str">
        <f ca="1">IFERROR(FDS(MO.Ticker.FactSet,"P_PRICE_LOW"&amp;"("&amp;INDEX(MO_SNA_FPStartDate,0,COLUMN())&amp;","&amp;INDEX(MO_Common_QEndDate,0,COLUMN())&amp;",,,,""PRICE"",""CLOSE"")"),"N/A")</f>
        <v>N/A</v>
      </c>
      <c r="AM779" s="303" t="str">
        <f ca="1">IFERROR(FDS(MO.Ticker.FactSet,"P_PRICE_LOW"&amp;"("&amp;INDEX(MO_SNA_FPStartDate,0,COLUMN())&amp;","&amp;INDEX(MO_Common_QEndDate,0,COLUMN())&amp;",,,,""PRICE"",""CLOSE"")"),"N/A")</f>
        <v>N/A</v>
      </c>
      <c r="AN779" s="303" t="str">
        <f ca="1">IFERROR(FDS(MO.Ticker.FactSet,"P_PRICE_LOW"&amp;"("&amp;INDEX(MO_SNA_FPStartDate,0,COLUMN())&amp;","&amp;INDEX(MO_Common_QEndDate,0,COLUMN())&amp;",,,,""PRICE"",""CLOSE"")"),"N/A")</f>
        <v>N/A</v>
      </c>
      <c r="AO779" s="303" t="str">
        <f ca="1">IFERROR(FDS(MO.Ticker.FactSet,"P_PRICE_LOW"&amp;"("&amp;INDEX(MO_SNA_FPStartDate,0,COLUMN())&amp;","&amp;INDEX(MO_Common_QEndDate,0,COLUMN())&amp;",,,,""PRICE"",""CLOSE"")"),"N/A")</f>
        <v>N/A</v>
      </c>
      <c r="AP779" s="303" t="str">
        <f ca="1">IFERROR(FDS(MO.Ticker.FactSet,"P_PRICE_LOW"&amp;"("&amp;INDEX(MO_SNA_FPStartDate,0,COLUMN())&amp;","&amp;INDEX(MO_Common_QEndDate,0,COLUMN())&amp;",,,,""PRICE"",""CLOSE"")"),"N/A")</f>
        <v>N/A</v>
      </c>
      <c r="AQ779" s="303" t="str">
        <f ca="1">IFERROR(FDS(MO.Ticker.FactSet,"P_PRICE_LOW"&amp;"("&amp;INDEX(MO_SNA_FPStartDate,0,COLUMN())&amp;","&amp;INDEX(MO_Common_QEndDate,0,COLUMN())&amp;",,,,""PRICE"",""CLOSE"")"),"N/A")</f>
        <v>N/A</v>
      </c>
      <c r="AR779" s="303" t="str">
        <f ca="1">IFERROR(FDS(MO.Ticker.FactSet,"P_PRICE_LOW"&amp;"("&amp;INDEX(MO_SNA_FPStartDate,0,COLUMN())&amp;","&amp;INDEX(MO_Common_QEndDate,0,COLUMN())&amp;",,,,""PRICE"",""CLOSE"")"),"N/A")</f>
        <v>N/A</v>
      </c>
      <c r="AS779" s="303" t="str">
        <f ca="1">IFERROR(FDS(MO.Ticker.FactSet,"P_PRICE_LOW"&amp;"("&amp;INDEX(MO_SNA_FPStartDate,0,COLUMN())&amp;","&amp;INDEX(MO_Common_QEndDate,0,COLUMN())&amp;",,,,""PRICE"",""CLOSE"")"),"N/A")</f>
        <v>N/A</v>
      </c>
      <c r="AT779" s="303" t="str">
        <f ca="1">IFERROR(FDS(MO.Ticker.FactSet,"P_PRICE_LOW"&amp;"("&amp;INDEX(MO_SNA_FPStartDate,0,COLUMN())&amp;","&amp;INDEX(MO_Common_QEndDate,0,COLUMN())&amp;",,,,""PRICE"",""CLOSE"")"),"N/A")</f>
        <v>N/A</v>
      </c>
      <c r="AU779" s="303" t="str">
        <f ca="1">IFERROR(FDS(MO.Ticker.FactSet,"P_PRICE_LOW"&amp;"("&amp;INDEX(MO_SNA_FPStartDate,0,COLUMN())&amp;","&amp;INDEX(MO_Common_QEndDate,0,COLUMN())&amp;",,,,""PRICE"",""CLOSE"")"),"N/A")</f>
        <v>N/A</v>
      </c>
      <c r="AV779" s="303" t="str">
        <f ca="1">IFERROR(FDS(MO.Ticker.FactSet,"P_PRICE_LOW"&amp;"("&amp;INDEX(MO_SNA_FPStartDate,0,COLUMN())&amp;","&amp;INDEX(MO_Common_QEndDate,0,COLUMN())&amp;",,,,""PRICE"",""CLOSE"")"),"N/A")</f>
        <v>N/A</v>
      </c>
      <c r="AW779" s="604" t="str">
        <f ca="1">IFERROR(FDS(MO.Ticker.FactSet,"P_PRICE_LOW"&amp;"("&amp;INDEX(MO_SNA_FPStartDate,0,COLUMN())&amp;","&amp;INDEX(MO_Common_QEndDate,0,COLUMN())&amp;",,,,""PRICE"",""CLOSE"")"),"N/A")</f>
        <v>N/A</v>
      </c>
      <c r="AX779" s="303" t="str">
        <f ca="1">IFERROR(FDS(MO.Ticker.FactSet,"P_PRICE_LOW"&amp;"("&amp;INDEX(MO_SNA_FPStartDate,0,COLUMN())&amp;","&amp;INDEX(MO_Common_QEndDate,0,COLUMN())&amp;",,,,""PRICE"",""CLOSE"")"),"N/A")</f>
        <v>N/A</v>
      </c>
      <c r="AY779" s="303" t="str">
        <f ca="1">IFERROR(FDS(MO.Ticker.FactSet,"P_PRICE_LOW"&amp;"("&amp;INDEX(MO_SNA_FPStartDate,0,COLUMN())&amp;","&amp;INDEX(MO_Common_QEndDate,0,COLUMN())&amp;",,,,""PRICE"",""CLOSE"")"),"N/A")</f>
        <v>N/A</v>
      </c>
      <c r="AZ779" s="303" t="str">
        <f ca="1">IFERROR(FDS(MO.Ticker.FactSet,"P_PRICE_LOW"&amp;"("&amp;INDEX(MO_SNA_FPStartDate,0,COLUMN())&amp;","&amp;INDEX(MO_Common_QEndDate,0,COLUMN())&amp;",,,,""PRICE"",""CLOSE"")"),"N/A")</f>
        <v>N/A</v>
      </c>
      <c r="BA779" s="303" t="str">
        <f ca="1">IFERROR(FDS(MO.Ticker.FactSet,"P_PRICE_LOW"&amp;"("&amp;INDEX(MO_SNA_FPStartDate,0,COLUMN())&amp;","&amp;INDEX(MO_Common_QEndDate,0,COLUMN())&amp;",,,,""PRICE"",""CLOSE"")"),"N/A")</f>
        <v>N/A</v>
      </c>
      <c r="BB779" s="303" t="str">
        <f ca="1">IFERROR(FDS(MO.Ticker.FactSet,"P_PRICE_LOW"&amp;"("&amp;INDEX(MO_SNA_FPStartDate,0,COLUMN())&amp;","&amp;INDEX(MO_Common_QEndDate,0,COLUMN())&amp;",,,,""PRICE"",""CLOSE"")"),"N/A")</f>
        <v>N/A</v>
      </c>
      <c r="BC779" s="303" t="str">
        <f ca="1">IFERROR(FDS(MO.Ticker.FactSet,"P_PRICE_LOW"&amp;"("&amp;INDEX(MO_SNA_FPStartDate,0,COLUMN())&amp;","&amp;INDEX(MO_Common_QEndDate,0,COLUMN())&amp;",,,,""PRICE"",""CLOSE"")"),"N/A")</f>
        <v>N/A</v>
      </c>
      <c r="BD779" s="303" t="str">
        <f ca="1">IFERROR(FDS(MO.Ticker.FactSet,"P_PRICE_LOW"&amp;"("&amp;INDEX(MO_SNA_FPStartDate,0,COLUMN())&amp;","&amp;INDEX(MO_Common_QEndDate,0,COLUMN())&amp;",,,,""PRICE"",""CLOSE"")"),"N/A")</f>
        <v>N/A</v>
      </c>
      <c r="BE779" s="303" t="str">
        <f ca="1">IFERROR(FDS(MO.Ticker.FactSet,"P_PRICE_LOW"&amp;"("&amp;INDEX(MO_SNA_FPStartDate,0,COLUMN())&amp;","&amp;INDEX(MO_Common_QEndDate,0,COLUMN())&amp;",,,,""PRICE"",""CLOSE"")"),"N/A")</f>
        <v>N/A</v>
      </c>
      <c r="BF779" s="303" t="str">
        <f ca="1">IFERROR(FDS(MO.Ticker.FactSet,"P_PRICE_LOW"&amp;"("&amp;INDEX(MO_SNA_FPStartDate,0,COLUMN())&amp;","&amp;INDEX(MO_Common_QEndDate,0,COLUMN())&amp;",,,,""PRICE"",""CLOSE"")"),"N/A")</f>
        <v>N/A</v>
      </c>
      <c r="BG779" s="305" t="str">
        <f ca="1">IFERROR(FDS(MO.Ticker.FactSet,"P_PRICE_LOW"&amp;"("&amp;INDEX(MO_SNA_FPStartDate,0,COLUMN())&amp;","&amp;INDEX(MO_Common_QEndDate,0,COLUMN())&amp;",,,,""PRICE"",""CLOSE"")"),"N/A")</f>
        <v>N/A</v>
      </c>
      <c r="BH779" s="277"/>
    </row>
    <row r="780" spans="1:60" customFormat="1" hidden="1" outlineLevel="1" x14ac:dyDescent="0.25">
      <c r="A780" s="306" t="s">
        <v>569</v>
      </c>
      <c r="B780" s="303"/>
      <c r="C780" s="304" t="str">
        <f ca="1">IFERROR(_xll.TR(MO.Ticker.Thomson,"Min(TR.PriceLow)","sdate:#1 edate:#2",,INDEX(MO_SNA_FPStartDate,0,COLUMN()),INDEX(MO_Common_QEndDate,0,COLUMN())),"N/A")</f>
        <v>N/A</v>
      </c>
      <c r="D780" s="304" t="str">
        <f ca="1">IFERROR(_xll.TR(MO.Ticker.Thomson,"Min(TR.PriceLow)","sdate:#1 edate:#2",,INDEX(MO_SNA_FPStartDate,0,COLUMN()),INDEX(MO_Common_QEndDate,0,COLUMN())),"N/A")</f>
        <v>N/A</v>
      </c>
      <c r="E780" s="303" t="str">
        <f ca="1">IFERROR(_xll.TR(MO.Ticker.Thomson,"Min(TR.PriceLow)","sdate:#1 edate:#2",,INDEX(MO_SNA_FPStartDate,0,COLUMN()),INDEX(MO_Common_QEndDate,0,COLUMN())),"N/A")</f>
        <v>N/A</v>
      </c>
      <c r="F780" s="303" t="str">
        <f ca="1">IFERROR(_xll.TR(MO.Ticker.Thomson,"Min(TR.PriceLow)","sdate:#1 edate:#2",,INDEX(MO_SNA_FPStartDate,0,COLUMN()),INDEX(MO_Common_QEndDate,0,COLUMN())),"N/A")</f>
        <v>N/A</v>
      </c>
      <c r="G780" s="303" t="str">
        <f ca="1">IFERROR(_xll.TR(MO.Ticker.Thomson,"Min(TR.PriceLow)","sdate:#1 edate:#2",,INDEX(MO_SNA_FPStartDate,0,COLUMN()),INDEX(MO_Common_QEndDate,0,COLUMN())),"N/A")</f>
        <v>N/A</v>
      </c>
      <c r="H780" s="303" t="str">
        <f ca="1">IFERROR(_xll.TR(MO.Ticker.Thomson,"Min(TR.PriceLow)","sdate:#1 edate:#2",,INDEX(MO_SNA_FPStartDate,0,COLUMN()),INDEX(MO_Common_QEndDate,0,COLUMN())),"N/A")</f>
        <v>N/A</v>
      </c>
      <c r="I780" s="303" t="str">
        <f ca="1">IFERROR(_xll.TR(MO.Ticker.Thomson,"Min(TR.PriceLow)","sdate:#1 edate:#2",,INDEX(MO_SNA_FPStartDate,0,COLUMN()),INDEX(MO_Common_QEndDate,0,COLUMN())),"N/A")</f>
        <v>N/A</v>
      </c>
      <c r="J780" s="303" t="str">
        <f ca="1">IFERROR(_xll.TR(MO.Ticker.Thomson,"Min(TR.PriceLow)","sdate:#1 edate:#2",,INDEX(MO_SNA_FPStartDate,0,COLUMN()),INDEX(MO_Common_QEndDate,0,COLUMN())),"N/A")</f>
        <v>N/A</v>
      </c>
      <c r="K780" s="303" t="str">
        <f ca="1">IFERROR(_xll.TR(MO.Ticker.Thomson,"Min(TR.PriceLow)","sdate:#1 edate:#2",,INDEX(MO_SNA_FPStartDate,0,COLUMN()),INDEX(MO_Common_QEndDate,0,COLUMN())),"N/A")</f>
        <v>N/A</v>
      </c>
      <c r="L780" s="303" t="str">
        <f ca="1">IFERROR(_xll.TR(MO.Ticker.Thomson,"Min(TR.PriceLow)","sdate:#1 edate:#2",,INDEX(MO_SNA_FPStartDate,0,COLUMN()),INDEX(MO_Common_QEndDate,0,COLUMN())),"N/A")</f>
        <v>N/A</v>
      </c>
      <c r="M780" s="303" t="str">
        <f ca="1">IFERROR(_xll.TR(MO.Ticker.Thomson,"Min(TR.PriceLow)","sdate:#1 edate:#2",,INDEX(MO_SNA_FPStartDate,0,COLUMN()),INDEX(MO_Common_QEndDate,0,COLUMN())),"N/A")</f>
        <v>N/A</v>
      </c>
      <c r="N780" s="303" t="str">
        <f ca="1">IFERROR(_xll.TR(MO.Ticker.Thomson,"Min(TR.PriceLow)","sdate:#1 edate:#2",,INDEX(MO_SNA_FPStartDate,0,COLUMN()),INDEX(MO_Common_QEndDate,0,COLUMN())),"N/A")</f>
        <v>N/A</v>
      </c>
      <c r="O780" s="303" t="str">
        <f ca="1">IFERROR(_xll.TR(MO.Ticker.Thomson,"Min(TR.PriceLow)","sdate:#1 edate:#2",,INDEX(MO_SNA_FPStartDate,0,COLUMN()),INDEX(MO_Common_QEndDate,0,COLUMN())),"N/A")</f>
        <v>N/A</v>
      </c>
      <c r="P780" s="303" t="str">
        <f ca="1">IFERROR(_xll.TR(MO.Ticker.Thomson,"Min(TR.PriceLow)","sdate:#1 edate:#2",,INDEX(MO_SNA_FPStartDate,0,COLUMN()),INDEX(MO_Common_QEndDate,0,COLUMN())),"N/A")</f>
        <v>N/A</v>
      </c>
      <c r="Q780" s="303" t="str">
        <f ca="1">IFERROR(_xll.TR(MO.Ticker.Thomson,"Min(TR.PriceLow)","sdate:#1 edate:#2",,INDEX(MO_SNA_FPStartDate,0,COLUMN()),INDEX(MO_Common_QEndDate,0,COLUMN())),"N/A")</f>
        <v>N/A</v>
      </c>
      <c r="R780" s="303" t="str">
        <f ca="1">IFERROR(_xll.TR(MO.Ticker.Thomson,"Min(TR.PriceLow)","sdate:#1 edate:#2",,INDEX(MO_SNA_FPStartDate,0,COLUMN()),INDEX(MO_Common_QEndDate,0,COLUMN())),"N/A")</f>
        <v>N/A</v>
      </c>
      <c r="S780" s="303" t="str">
        <f ca="1">IFERROR(_xll.TR(MO.Ticker.Thomson,"Min(TR.PriceLow)","sdate:#1 edate:#2",,INDEX(MO_SNA_FPStartDate,0,COLUMN()),INDEX(MO_Common_QEndDate,0,COLUMN())),"N/A")</f>
        <v>N/A</v>
      </c>
      <c r="T780" s="303" t="str">
        <f ca="1">IFERROR(_xll.TR(MO.Ticker.Thomson,"Min(TR.PriceLow)","sdate:#1 edate:#2",,INDEX(MO_SNA_FPStartDate,0,COLUMN()),INDEX(MO_Common_QEndDate,0,COLUMN())),"N/A")</f>
        <v>N/A</v>
      </c>
      <c r="U780" s="303" t="str">
        <f ca="1">IFERROR(_xll.TR(MO.Ticker.Thomson,"Min(TR.PriceLow)","sdate:#1 edate:#2",,INDEX(MO_SNA_FPStartDate,0,COLUMN()),INDEX(MO_Common_QEndDate,0,COLUMN())),"N/A")</f>
        <v>N/A</v>
      </c>
      <c r="V780" s="303" t="str">
        <f ca="1">IFERROR(_xll.TR(MO.Ticker.Thomson,"Min(TR.PriceLow)","sdate:#1 edate:#2",,INDEX(MO_SNA_FPStartDate,0,COLUMN()),INDEX(MO_Common_QEndDate,0,COLUMN())),"N/A")</f>
        <v>N/A</v>
      </c>
      <c r="W780" s="303" t="str">
        <f ca="1">IFERROR(_xll.TR(MO.Ticker.Thomson,"Min(TR.PriceLow)","sdate:#1 edate:#2",,INDEX(MO_SNA_FPStartDate,0,COLUMN()),INDEX(MO_Common_QEndDate,0,COLUMN())),"N/A")</f>
        <v>N/A</v>
      </c>
      <c r="X780" s="303" t="str">
        <f ca="1">IFERROR(_xll.TR(MO.Ticker.Thomson,"Min(TR.PriceLow)","sdate:#1 edate:#2",,INDEX(MO_SNA_FPStartDate,0,COLUMN()),INDEX(MO_Common_QEndDate,0,COLUMN())),"N/A")</f>
        <v>N/A</v>
      </c>
      <c r="Y780" s="303" t="str">
        <f ca="1">IFERROR(_xll.TR(MO.Ticker.Thomson,"Min(TR.PriceLow)","sdate:#1 edate:#2",,INDEX(MO_SNA_FPStartDate,0,COLUMN()),INDEX(MO_Common_QEndDate,0,COLUMN())),"N/A")</f>
        <v>N/A</v>
      </c>
      <c r="Z780" s="303" t="str">
        <f ca="1">IFERROR(_xll.TR(MO.Ticker.Thomson,"Min(TR.PriceLow)","sdate:#1 edate:#2",,INDEX(MO_SNA_FPStartDate,0,COLUMN()),INDEX(MO_Common_QEndDate,0,COLUMN())),"N/A")</f>
        <v>N/A</v>
      </c>
      <c r="AA780" s="303" t="str">
        <f ca="1">IFERROR(_xll.TR(MO.Ticker.Thomson,"Min(TR.PriceLow)","sdate:#1 edate:#2",,INDEX(MO_SNA_FPStartDate,0,COLUMN()),INDEX(MO_Common_QEndDate,0,COLUMN())),"N/A")</f>
        <v>N/A</v>
      </c>
      <c r="AB780" s="303" t="str">
        <f ca="1">IFERROR(_xll.TR(MO.Ticker.Thomson,"Min(TR.PriceLow)","sdate:#1 edate:#2",,INDEX(MO_SNA_FPStartDate,0,COLUMN()),INDEX(MO_Common_QEndDate,0,COLUMN())),"N/A")</f>
        <v>N/A</v>
      </c>
      <c r="AC780" s="303" t="str">
        <f ca="1">IFERROR(_xll.TR(MO.Ticker.Thomson,"Min(TR.PriceLow)","sdate:#1 edate:#2",,INDEX(MO_SNA_FPStartDate,0,COLUMN()),INDEX(MO_Common_QEndDate,0,COLUMN())),"N/A")</f>
        <v>N/A</v>
      </c>
      <c r="AD780" s="303" t="str">
        <f ca="1">IFERROR(_xll.TR(MO.Ticker.Thomson,"Min(TR.PriceLow)","sdate:#1 edate:#2",,INDEX(MO_SNA_FPStartDate,0,COLUMN()),INDEX(MO_Common_QEndDate,0,COLUMN())),"N/A")</f>
        <v>N/A</v>
      </c>
      <c r="AE780" s="303" t="str">
        <f ca="1">IFERROR(_xll.TR(MO.Ticker.Thomson,"Min(TR.PriceLow)","sdate:#1 edate:#2",,INDEX(MO_SNA_FPStartDate,0,COLUMN()),INDEX(MO_Common_QEndDate,0,COLUMN())),"N/A")</f>
        <v>N/A</v>
      </c>
      <c r="AF780" s="303" t="str">
        <f ca="1">IFERROR(_xll.TR(MO.Ticker.Thomson,"Min(TR.PriceLow)","sdate:#1 edate:#2",,INDEX(MO_SNA_FPStartDate,0,COLUMN()),INDEX(MO_Common_QEndDate,0,COLUMN())),"N/A")</f>
        <v>N/A</v>
      </c>
      <c r="AG780" s="303" t="str">
        <f ca="1">IFERROR(_xll.TR(MO.Ticker.Thomson,"Min(TR.PriceLow)","sdate:#1 edate:#2",,INDEX(MO_SNA_FPStartDate,0,COLUMN()),INDEX(MO_Common_QEndDate,0,COLUMN())),"N/A")</f>
        <v>N/A</v>
      </c>
      <c r="AH780" s="303" t="str">
        <f ca="1">IFERROR(_xll.TR(MO.Ticker.Thomson,"Min(TR.PriceLow)","sdate:#1 edate:#2",,INDEX(MO_SNA_FPStartDate,0,COLUMN()),INDEX(MO_Common_QEndDate,0,COLUMN())),"N/A")</f>
        <v>N/A</v>
      </c>
      <c r="AI780" s="303" t="str">
        <f ca="1">IFERROR(_xll.TR(MO.Ticker.Thomson,"Min(TR.PriceLow)","sdate:#1 edate:#2",,INDEX(MO_SNA_FPStartDate,0,COLUMN()),INDEX(MO_Common_QEndDate,0,COLUMN())),"N/A")</f>
        <v>N/A</v>
      </c>
      <c r="AJ780" s="303" t="str">
        <f ca="1">IFERROR(_xll.TR(MO.Ticker.Thomson,"Min(TR.PriceLow)","sdate:#1 edate:#2",,INDEX(MO_SNA_FPStartDate,0,COLUMN()),INDEX(MO_Common_QEndDate,0,COLUMN())),"N/A")</f>
        <v>N/A</v>
      </c>
      <c r="AK780" s="303" t="str">
        <f ca="1">IFERROR(_xll.TR(MO.Ticker.Thomson,"Min(TR.PriceLow)","sdate:#1 edate:#2",,INDEX(MO_SNA_FPStartDate,0,COLUMN()),INDEX(MO_Common_QEndDate,0,COLUMN())),"N/A")</f>
        <v>N/A</v>
      </c>
      <c r="AL780" s="303" t="str">
        <f ca="1">IFERROR(_xll.TR(MO.Ticker.Thomson,"Min(TR.PriceLow)","sdate:#1 edate:#2",,INDEX(MO_SNA_FPStartDate,0,COLUMN()),INDEX(MO_Common_QEndDate,0,COLUMN())),"N/A")</f>
        <v>N/A</v>
      </c>
      <c r="AM780" s="303" t="str">
        <f ca="1">IFERROR(_xll.TR(MO.Ticker.Thomson,"Min(TR.PriceLow)","sdate:#1 edate:#2",,INDEX(MO_SNA_FPStartDate,0,COLUMN()),INDEX(MO_Common_QEndDate,0,COLUMN())),"N/A")</f>
        <v>N/A</v>
      </c>
      <c r="AN780" s="303" t="str">
        <f ca="1">IFERROR(_xll.TR(MO.Ticker.Thomson,"Min(TR.PriceLow)","sdate:#1 edate:#2",,INDEX(MO_SNA_FPStartDate,0,COLUMN()),INDEX(MO_Common_QEndDate,0,COLUMN())),"N/A")</f>
        <v>N/A</v>
      </c>
      <c r="AO780" s="303" t="str">
        <f ca="1">IFERROR(_xll.TR(MO.Ticker.Thomson,"Min(TR.PriceLow)","sdate:#1 edate:#2",,INDEX(MO_SNA_FPStartDate,0,COLUMN()),INDEX(MO_Common_QEndDate,0,COLUMN())),"N/A")</f>
        <v>N/A</v>
      </c>
      <c r="AP780" s="303" t="str">
        <f ca="1">IFERROR(_xll.TR(MO.Ticker.Thomson,"Min(TR.PriceLow)","sdate:#1 edate:#2",,INDEX(MO_SNA_FPStartDate,0,COLUMN()),INDEX(MO_Common_QEndDate,0,COLUMN())),"N/A")</f>
        <v>N/A</v>
      </c>
      <c r="AQ780" s="303" t="str">
        <f ca="1">IFERROR(_xll.TR(MO.Ticker.Thomson,"Min(TR.PriceLow)","sdate:#1 edate:#2",,INDEX(MO_SNA_FPStartDate,0,COLUMN()),INDEX(MO_Common_QEndDate,0,COLUMN())),"N/A")</f>
        <v>N/A</v>
      </c>
      <c r="AR780" s="303" t="str">
        <f ca="1">IFERROR(_xll.TR(MO.Ticker.Thomson,"Min(TR.PriceLow)","sdate:#1 edate:#2",,INDEX(MO_SNA_FPStartDate,0,COLUMN()),INDEX(MO_Common_QEndDate,0,COLUMN())),"N/A")</f>
        <v>N/A</v>
      </c>
      <c r="AS780" s="303" t="str">
        <f ca="1">IFERROR(_xll.TR(MO.Ticker.Thomson,"Min(TR.PriceLow)","sdate:#1 edate:#2",,INDEX(MO_SNA_FPStartDate,0,COLUMN()),INDEX(MO_Common_QEndDate,0,COLUMN())),"N/A")</f>
        <v>N/A</v>
      </c>
      <c r="AT780" s="303" t="str">
        <f ca="1">IFERROR(_xll.TR(MO.Ticker.Thomson,"Min(TR.PriceLow)","sdate:#1 edate:#2",,INDEX(MO_SNA_FPStartDate,0,COLUMN()),INDEX(MO_Common_QEndDate,0,COLUMN())),"N/A")</f>
        <v>N/A</v>
      </c>
      <c r="AU780" s="303" t="str">
        <f ca="1">IFERROR(_xll.TR(MO.Ticker.Thomson,"Min(TR.PriceLow)","sdate:#1 edate:#2",,INDEX(MO_SNA_FPStartDate,0,COLUMN()),INDEX(MO_Common_QEndDate,0,COLUMN())),"N/A")</f>
        <v>N/A</v>
      </c>
      <c r="AV780" s="303" t="str">
        <f ca="1">IFERROR(_xll.TR(MO.Ticker.Thomson,"Min(TR.PriceLow)","sdate:#1 edate:#2",,INDEX(MO_SNA_FPStartDate,0,COLUMN()),INDEX(MO_Common_QEndDate,0,COLUMN())),"N/A")</f>
        <v>N/A</v>
      </c>
      <c r="AW780" s="604" t="str">
        <f ca="1">IFERROR(_xll.TR(MO.Ticker.Thomson,"Min(TR.PriceLow)","sdate:#1 edate:#2",,INDEX(MO_SNA_FPStartDate,0,COLUMN()),INDEX(MO_Common_QEndDate,0,COLUMN())),"N/A")</f>
        <v>N/A</v>
      </c>
      <c r="AX780" s="303" t="str">
        <f ca="1">IFERROR(_xll.TR(MO.Ticker.Thomson,"Min(TR.PriceLow)","sdate:#1 edate:#2",,INDEX(MO_SNA_FPStartDate,0,COLUMN()),INDEX(MO_Common_QEndDate,0,COLUMN())),"N/A")</f>
        <v>N/A</v>
      </c>
      <c r="AY780" s="303" t="str">
        <f ca="1">IFERROR(_xll.TR(MO.Ticker.Thomson,"Min(TR.PriceLow)","sdate:#1 edate:#2",,INDEX(MO_SNA_FPStartDate,0,COLUMN()),INDEX(MO_Common_QEndDate,0,COLUMN())),"N/A")</f>
        <v>N/A</v>
      </c>
      <c r="AZ780" s="303" t="str">
        <f ca="1">IFERROR(_xll.TR(MO.Ticker.Thomson,"Min(TR.PriceLow)","sdate:#1 edate:#2",,INDEX(MO_SNA_FPStartDate,0,COLUMN()),INDEX(MO_Common_QEndDate,0,COLUMN())),"N/A")</f>
        <v>N/A</v>
      </c>
      <c r="BA780" s="303" t="str">
        <f ca="1">IFERROR(_xll.TR(MO.Ticker.Thomson,"Min(TR.PriceLow)","sdate:#1 edate:#2",,INDEX(MO_SNA_FPStartDate,0,COLUMN()),INDEX(MO_Common_QEndDate,0,COLUMN())),"N/A")</f>
        <v>N/A</v>
      </c>
      <c r="BB780" s="303" t="str">
        <f ca="1">IFERROR(_xll.TR(MO.Ticker.Thomson,"Min(TR.PriceLow)","sdate:#1 edate:#2",,INDEX(MO_SNA_FPStartDate,0,COLUMN()),INDEX(MO_Common_QEndDate,0,COLUMN())),"N/A")</f>
        <v>N/A</v>
      </c>
      <c r="BC780" s="303" t="str">
        <f ca="1">IFERROR(_xll.TR(MO.Ticker.Thomson,"Min(TR.PriceLow)","sdate:#1 edate:#2",,INDEX(MO_SNA_FPStartDate,0,COLUMN()),INDEX(MO_Common_QEndDate,0,COLUMN())),"N/A")</f>
        <v>N/A</v>
      </c>
      <c r="BD780" s="303" t="str">
        <f ca="1">IFERROR(_xll.TR(MO.Ticker.Thomson,"Min(TR.PriceLow)","sdate:#1 edate:#2",,INDEX(MO_SNA_FPStartDate,0,COLUMN()),INDEX(MO_Common_QEndDate,0,COLUMN())),"N/A")</f>
        <v>N/A</v>
      </c>
      <c r="BE780" s="303" t="str">
        <f ca="1">IFERROR(_xll.TR(MO.Ticker.Thomson,"Min(TR.PriceLow)","sdate:#1 edate:#2",,INDEX(MO_SNA_FPStartDate,0,COLUMN()),INDEX(MO_Common_QEndDate,0,COLUMN())),"N/A")</f>
        <v>N/A</v>
      </c>
      <c r="BF780" s="303" t="str">
        <f ca="1">IFERROR(_xll.TR(MO.Ticker.Thomson,"Min(TR.PriceLow)","sdate:#1 edate:#2",,INDEX(MO_SNA_FPStartDate,0,COLUMN()),INDEX(MO_Common_QEndDate,0,COLUMN())),"N/A")</f>
        <v>N/A</v>
      </c>
      <c r="BG780" s="305" t="str">
        <f ca="1">IFERROR(_xll.TR(MO.Ticker.Thomson,"Min(TR.PriceLow)","sdate:#1 edate:#2",,INDEX(MO_SNA_FPStartDate,0,COLUMN()),INDEX(MO_Common_QEndDate,0,COLUMN())),"N/A")</f>
        <v>N/A</v>
      </c>
      <c r="BH780" s="277"/>
    </row>
    <row r="781" spans="1:60" customFormat="1" hidden="1" outlineLevel="1" x14ac:dyDescent="0.25">
      <c r="A781" s="235"/>
      <c r="B781" s="822"/>
      <c r="C781" s="169"/>
      <c r="D781" s="169"/>
      <c r="E781" s="822"/>
      <c r="F781" s="822"/>
      <c r="G781" s="822"/>
      <c r="H781" s="822"/>
      <c r="I781" s="822"/>
      <c r="J781" s="822"/>
      <c r="K781" s="822"/>
      <c r="L781" s="822"/>
      <c r="M781" s="822"/>
      <c r="N781" s="822"/>
      <c r="O781" s="822"/>
      <c r="P781" s="822"/>
      <c r="Q781" s="822"/>
      <c r="R781" s="822"/>
      <c r="S781" s="822"/>
      <c r="T781" s="822"/>
      <c r="U781" s="822"/>
      <c r="V781" s="822"/>
      <c r="W781" s="822"/>
      <c r="X781" s="822"/>
      <c r="Y781" s="822"/>
      <c r="Z781" s="822"/>
      <c r="AA781" s="822"/>
      <c r="AB781" s="822"/>
      <c r="AC781" s="822"/>
      <c r="AD781" s="822"/>
      <c r="AE781" s="822"/>
      <c r="AF781" s="822"/>
      <c r="AG781" s="822"/>
      <c r="AH781" s="822"/>
      <c r="AI781" s="822"/>
      <c r="AJ781" s="822"/>
      <c r="AK781" s="822"/>
      <c r="AL781" s="822"/>
      <c r="AM781" s="822"/>
      <c r="AN781" s="822"/>
      <c r="AO781" s="822"/>
      <c r="AP781" s="822"/>
      <c r="AQ781" s="822"/>
      <c r="AR781" s="822"/>
      <c r="AS781" s="822"/>
      <c r="AT781" s="822"/>
      <c r="AU781" s="822"/>
      <c r="AV781" s="822"/>
      <c r="AW781" s="823"/>
      <c r="AX781" s="822"/>
      <c r="AY781" s="822"/>
      <c r="AZ781" s="822"/>
      <c r="BA781" s="822"/>
      <c r="BB781" s="822"/>
      <c r="BC781" s="822"/>
      <c r="BD781" s="822"/>
      <c r="BE781" s="822"/>
      <c r="BF781" s="822"/>
      <c r="BG781" s="233"/>
      <c r="BH781" s="821"/>
    </row>
    <row r="782" spans="1:60" customFormat="1" collapsed="1" x14ac:dyDescent="0.25">
      <c r="A782" s="302" t="str">
        <f ca="1">"Stock Average: "&amp;IF(OR(MO.RealTimeStockPriceToggle=FALSE,VLOOKUP(MO.DataSourceName,MO_SPT_StockAverage_Sources,COLUMN()+2,FALSE)="N/A"),"Real-Time Off Source",MO.DataSourceName)</f>
        <v>Stock Average: Real-Time Off Source</v>
      </c>
      <c r="B782" s="303"/>
      <c r="C782" s="304">
        <f t="shared" ref="C782:AH782" ca="1" si="759">IF(OR(MO.RealTimeStockPriceToggle=FALSE,VLOOKUP(MO.DataSourceName,MO_SPT_StockAverage_Sources,COLUMN(),FALSE)="N/A"),VLOOKUP("Real-Time Off Source",MO_SPT_StockAverage_Sources,COLUMN(),FALSE),VLOOKUP(MO.DataSourceName,MO_SPT_StockAverage_Sources,COLUMN(),FALSE))</f>
        <v>6.2816071428571396</v>
      </c>
      <c r="D782" s="304">
        <f t="shared" ca="1" si="759"/>
        <v>17.001249999999999</v>
      </c>
      <c r="E782" s="303">
        <f t="shared" ca="1" si="759"/>
        <v>3.8940051020408202</v>
      </c>
      <c r="F782" s="303">
        <f t="shared" ca="1" si="759"/>
        <v>11.9760714285714</v>
      </c>
      <c r="G782" s="303">
        <f t="shared" ca="1" si="759"/>
        <v>20.593571428571401</v>
      </c>
      <c r="H782" s="303">
        <f t="shared" ca="1" si="759"/>
        <v>29.132142857142899</v>
      </c>
      <c r="I782" s="303">
        <f t="shared" ca="1" si="759"/>
        <v>38.027857142857101</v>
      </c>
      <c r="J782" s="303">
        <f t="shared" ca="1" si="759"/>
        <v>47.997142857142897</v>
      </c>
      <c r="K782" s="303">
        <f t="shared" ca="1" si="759"/>
        <v>33.937678571428599</v>
      </c>
      <c r="L782" s="303">
        <f t="shared" ca="1" si="759"/>
        <v>55.505000000000003</v>
      </c>
      <c r="M782" s="303">
        <f t="shared" ca="1" si="759"/>
        <v>53.594999999999999</v>
      </c>
      <c r="N782" s="303">
        <f t="shared" ca="1" si="759"/>
        <v>64.415000000000006</v>
      </c>
      <c r="O782" s="303">
        <f t="shared" ca="1" si="759"/>
        <v>55.97</v>
      </c>
      <c r="P782" s="303">
        <f t="shared" ca="1" si="759"/>
        <v>57.371250000000003</v>
      </c>
      <c r="Q782" s="303">
        <f t="shared" ca="1" si="759"/>
        <v>57.38</v>
      </c>
      <c r="R782" s="303">
        <f t="shared" ca="1" si="759"/>
        <v>79.674999999999997</v>
      </c>
      <c r="S782" s="303">
        <f t="shared" ca="1" si="759"/>
        <v>107.395</v>
      </c>
      <c r="T782" s="303">
        <f t="shared" ca="1" si="759"/>
        <v>114.765</v>
      </c>
      <c r="U782" s="303">
        <f t="shared" ca="1" si="759"/>
        <v>89.803749999999994</v>
      </c>
      <c r="V782" s="303">
        <f t="shared" ca="1" si="759"/>
        <v>101.065</v>
      </c>
      <c r="W782" s="303">
        <f t="shared" ca="1" si="759"/>
        <v>98.33</v>
      </c>
      <c r="X782" s="303">
        <f t="shared" ca="1" si="759"/>
        <v>92.885000000000005</v>
      </c>
      <c r="Y782" s="303">
        <f t="shared" ca="1" si="759"/>
        <v>113.46</v>
      </c>
      <c r="Z782" s="303">
        <f t="shared" ca="1" si="759"/>
        <v>101.435</v>
      </c>
      <c r="AA782" s="303">
        <f t="shared" ca="1" si="759"/>
        <v>136.30000000000001</v>
      </c>
      <c r="AB782" s="303">
        <f t="shared" ca="1" si="759"/>
        <v>152.76499999999999</v>
      </c>
      <c r="AC782" s="303">
        <f t="shared" ca="1" si="759"/>
        <v>167.875</v>
      </c>
      <c r="AD782" s="303">
        <f t="shared" ca="1" si="759"/>
        <v>190.48</v>
      </c>
      <c r="AE782" s="303">
        <f t="shared" ca="1" si="759"/>
        <v>161.85499999999999</v>
      </c>
      <c r="AF782" s="303">
        <f t="shared" ca="1" si="759"/>
        <v>272.21786885245899</v>
      </c>
      <c r="AG782" s="303">
        <f t="shared" ca="1" si="759"/>
        <v>340.89687500000002</v>
      </c>
      <c r="AH782" s="303">
        <f t="shared" ca="1" si="759"/>
        <v>362.95142857142901</v>
      </c>
      <c r="AI782" s="303">
        <f t="shared" ref="AI782:BG782" ca="1" si="760">IF(OR(MO.RealTimeStockPriceToggle=FALSE,VLOOKUP(MO.DataSourceName,MO_SPT_StockAverage_Sources,COLUMN(),FALSE)="N/A"),VLOOKUP("Real-Time Off Source",MO_SPT_StockAverage_Sources,COLUMN(),FALSE),VLOOKUP(MO.DataSourceName,MO_SPT_StockAverage_Sources,COLUMN(),FALSE))</f>
        <v>299.25769841269801</v>
      </c>
      <c r="AJ782" s="303">
        <f t="shared" ca="1" si="760"/>
        <v>319.290298804781</v>
      </c>
      <c r="AK782" s="303">
        <f t="shared" ca="1" si="760"/>
        <v>346.66885245901602</v>
      </c>
      <c r="AL782" s="303">
        <f t="shared" ca="1" si="760"/>
        <v>360.777777777778</v>
      </c>
      <c r="AM782" s="303">
        <f t="shared" ca="1" si="760"/>
        <v>312.88953125</v>
      </c>
      <c r="AN782" s="303">
        <f t="shared" ca="1" si="760"/>
        <v>296.48171875000003</v>
      </c>
      <c r="AO782" s="303">
        <f t="shared" ca="1" si="760"/>
        <v>328.87126984127002</v>
      </c>
      <c r="AP782" s="303">
        <f t="shared" ca="1" si="760"/>
        <v>353.77717741935498</v>
      </c>
      <c r="AQ782" s="303">
        <f t="shared" ca="1" si="760"/>
        <v>425.61777777777797</v>
      </c>
      <c r="AR782" s="303">
        <f t="shared" ca="1" si="760"/>
        <v>497.6978125</v>
      </c>
      <c r="AS782" s="303">
        <f t="shared" ca="1" si="760"/>
        <v>506.97687500000001</v>
      </c>
      <c r="AT782" s="303">
        <f t="shared" ca="1" si="760"/>
        <v>446.82721343873601</v>
      </c>
      <c r="AU782" s="303">
        <f t="shared" ca="1" si="760"/>
        <v>530.43606557377097</v>
      </c>
      <c r="AV782" s="303">
        <f t="shared" ca="1" si="760"/>
        <v>511.16333333333301</v>
      </c>
      <c r="AW782" s="604">
        <f t="shared" ca="1" si="760"/>
        <v>550.33171875000005</v>
      </c>
      <c r="AX782" s="303">
        <f t="shared" ca="1" si="760"/>
        <v>0</v>
      </c>
      <c r="AY782" s="303">
        <f t="shared" ca="1" si="760"/>
        <v>0</v>
      </c>
      <c r="AZ782" s="303">
        <f t="shared" ca="1" si="760"/>
        <v>0</v>
      </c>
      <c r="BA782" s="303">
        <f t="shared" ca="1" si="760"/>
        <v>0</v>
      </c>
      <c r="BB782" s="303">
        <f t="shared" ca="1" si="760"/>
        <v>0</v>
      </c>
      <c r="BC782" s="303">
        <f t="shared" ca="1" si="760"/>
        <v>0</v>
      </c>
      <c r="BD782" s="303">
        <f t="shared" ca="1" si="760"/>
        <v>0</v>
      </c>
      <c r="BE782" s="303">
        <f t="shared" ca="1" si="760"/>
        <v>0</v>
      </c>
      <c r="BF782" s="303">
        <f t="shared" ca="1" si="760"/>
        <v>0</v>
      </c>
      <c r="BG782" s="305">
        <f t="shared" ca="1" si="760"/>
        <v>0</v>
      </c>
      <c r="BH782" s="277"/>
    </row>
    <row r="783" spans="1:60" customFormat="1" hidden="1" outlineLevel="1" x14ac:dyDescent="0.25">
      <c r="A783" s="306" t="s">
        <v>262</v>
      </c>
      <c r="B783" s="303"/>
      <c r="C783" s="304">
        <v>6.2816071428571396</v>
      </c>
      <c r="D783" s="304">
        <v>17.001249999999999</v>
      </c>
      <c r="E783" s="303">
        <v>3.8940051020408202</v>
      </c>
      <c r="F783" s="303">
        <v>11.9760714285714</v>
      </c>
      <c r="G783" s="303">
        <v>20.593571428571401</v>
      </c>
      <c r="H783" s="303">
        <v>29.132142857142899</v>
      </c>
      <c r="I783" s="303">
        <v>38.027857142857101</v>
      </c>
      <c r="J783" s="303">
        <v>47.997142857142897</v>
      </c>
      <c r="K783" s="303">
        <v>33.937678571428599</v>
      </c>
      <c r="L783" s="303">
        <v>55.505000000000003</v>
      </c>
      <c r="M783" s="303">
        <v>53.594999999999999</v>
      </c>
      <c r="N783" s="303">
        <v>64.415000000000006</v>
      </c>
      <c r="O783" s="303">
        <v>55.97</v>
      </c>
      <c r="P783" s="303">
        <v>57.371250000000003</v>
      </c>
      <c r="Q783" s="303">
        <v>57.38</v>
      </c>
      <c r="R783" s="303">
        <v>79.674999999999997</v>
      </c>
      <c r="S783" s="303">
        <v>107.395</v>
      </c>
      <c r="T783" s="303">
        <v>114.765</v>
      </c>
      <c r="U783" s="303">
        <v>89.803749999999994</v>
      </c>
      <c r="V783" s="303">
        <v>101.065</v>
      </c>
      <c r="W783" s="303">
        <v>98.33</v>
      </c>
      <c r="X783" s="303">
        <v>92.885000000000005</v>
      </c>
      <c r="Y783" s="303">
        <v>113.46</v>
      </c>
      <c r="Z783" s="303">
        <v>101.435</v>
      </c>
      <c r="AA783" s="303">
        <v>136.30000000000001</v>
      </c>
      <c r="AB783" s="303">
        <v>152.76499999999999</v>
      </c>
      <c r="AC783" s="303">
        <v>167.875</v>
      </c>
      <c r="AD783" s="303">
        <v>190.48</v>
      </c>
      <c r="AE783" s="303">
        <v>161.85499999999999</v>
      </c>
      <c r="AF783" s="303">
        <v>272.21786885245899</v>
      </c>
      <c r="AG783" s="303">
        <v>340.89687500000002</v>
      </c>
      <c r="AH783" s="303">
        <v>362.95142857142901</v>
      </c>
      <c r="AI783" s="303">
        <v>299.25769841269801</v>
      </c>
      <c r="AJ783" s="303">
        <v>319.290298804781</v>
      </c>
      <c r="AK783" s="303">
        <v>346.66885245901602</v>
      </c>
      <c r="AL783" s="303">
        <v>360.777777777778</v>
      </c>
      <c r="AM783" s="303">
        <v>312.88953125</v>
      </c>
      <c r="AN783" s="303">
        <v>296.48171875000003</v>
      </c>
      <c r="AO783" s="303">
        <v>328.87126984127002</v>
      </c>
      <c r="AP783" s="303">
        <v>353.77717741935498</v>
      </c>
      <c r="AQ783" s="303">
        <v>425.61777777777797</v>
      </c>
      <c r="AR783" s="303">
        <v>497.6978125</v>
      </c>
      <c r="AS783" s="303">
        <v>506.97687500000001</v>
      </c>
      <c r="AT783" s="303">
        <v>446.82721343873601</v>
      </c>
      <c r="AU783" s="303">
        <v>530.43606557377097</v>
      </c>
      <c r="AV783" s="303">
        <v>511.16333333333301</v>
      </c>
      <c r="AW783" s="604">
        <v>550.33171875000005</v>
      </c>
      <c r="AX783" s="303"/>
      <c r="AY783" s="303"/>
      <c r="AZ783" s="303"/>
      <c r="BA783" s="303"/>
      <c r="BB783" s="303"/>
      <c r="BC783" s="303"/>
      <c r="BD783" s="303"/>
      <c r="BE783" s="303"/>
      <c r="BF783" s="303"/>
      <c r="BG783" s="305"/>
      <c r="BH783" s="277"/>
    </row>
    <row r="784" spans="1:60" customFormat="1" hidden="1" outlineLevel="1" x14ac:dyDescent="0.25">
      <c r="A784" s="306" t="s">
        <v>7</v>
      </c>
      <c r="B784" s="303"/>
      <c r="C784" s="304" t="str">
        <f ca="1">IFERROR(BDP(MO.Ticker.Bloomberg&amp;" Equity","INTERVAL_AVG","MARKET_DATA_OVERRIDE=PX_LAST","START_DATE_OVERRIDE",TEXT(INDEX(MO_SNA_FPStartDate,0,COLUMN()),"YYYYMMDD"),"END_DATE_OVERRIDE",TEXT(INDEX(MO_Common_QEndDate,0,COLUMN()),"YYYYMMDD")),"N/A")</f>
        <v>N/A</v>
      </c>
      <c r="D784" s="304" t="str">
        <f ca="1">IFERROR(BDP(MO.Ticker.Bloomberg&amp;" Equity","INTERVAL_AVG","MARKET_DATA_OVERRIDE=PX_LAST","START_DATE_OVERRIDE",TEXT(INDEX(MO_SNA_FPStartDate,0,COLUMN()),"YYYYMMDD"),"END_DATE_OVERRIDE",TEXT(INDEX(MO_Common_QEndDate,0,COLUMN()),"YYYYMMDD")),"N/A")</f>
        <v>N/A</v>
      </c>
      <c r="E784" s="303" t="str">
        <f ca="1">IFERROR(BDP(MO.Ticker.Bloomberg&amp;" Equity","INTERVAL_AVG","MARKET_DATA_OVERRIDE=PX_LAST","START_DATE_OVERRIDE",TEXT(INDEX(MO_SNA_FPStartDate,0,COLUMN()),"YYYYMMDD"),"END_DATE_OVERRIDE",TEXT(INDEX(MO_Common_QEndDate,0,COLUMN()),"YYYYMMDD")),"N/A")</f>
        <v>N/A</v>
      </c>
      <c r="F784" s="303" t="str">
        <f ca="1">IFERROR(BDP(MO.Ticker.Bloomberg&amp;" Equity","INTERVAL_AVG","MARKET_DATA_OVERRIDE=PX_LAST","START_DATE_OVERRIDE",TEXT(INDEX(MO_SNA_FPStartDate,0,COLUMN()),"YYYYMMDD"),"END_DATE_OVERRIDE",TEXT(INDEX(MO_Common_QEndDate,0,COLUMN()),"YYYYMMDD")),"N/A")</f>
        <v>N/A</v>
      </c>
      <c r="G784" s="303" t="str">
        <f ca="1">IFERROR(BDP(MO.Ticker.Bloomberg&amp;" Equity","INTERVAL_AVG","MARKET_DATA_OVERRIDE=PX_LAST","START_DATE_OVERRIDE",TEXT(INDEX(MO_SNA_FPStartDate,0,COLUMN()),"YYYYMMDD"),"END_DATE_OVERRIDE",TEXT(INDEX(MO_Common_QEndDate,0,COLUMN()),"YYYYMMDD")),"N/A")</f>
        <v>N/A</v>
      </c>
      <c r="H784" s="303" t="str">
        <f ca="1">IFERROR(BDP(MO.Ticker.Bloomberg&amp;" Equity","INTERVAL_AVG","MARKET_DATA_OVERRIDE=PX_LAST","START_DATE_OVERRIDE",TEXT(INDEX(MO_SNA_FPStartDate,0,COLUMN()),"YYYYMMDD"),"END_DATE_OVERRIDE",TEXT(INDEX(MO_Common_QEndDate,0,COLUMN()),"YYYYMMDD")),"N/A")</f>
        <v>N/A</v>
      </c>
      <c r="I784" s="303" t="str">
        <f ca="1">IFERROR(BDP(MO.Ticker.Bloomberg&amp;" Equity","INTERVAL_AVG","MARKET_DATA_OVERRIDE=PX_LAST","START_DATE_OVERRIDE",TEXT(INDEX(MO_SNA_FPStartDate,0,COLUMN()),"YYYYMMDD"),"END_DATE_OVERRIDE",TEXT(INDEX(MO_Common_QEndDate,0,COLUMN()),"YYYYMMDD")),"N/A")</f>
        <v>N/A</v>
      </c>
      <c r="J784" s="303" t="str">
        <f ca="1">IFERROR(BDP(MO.Ticker.Bloomberg&amp;" Equity","INTERVAL_AVG","MARKET_DATA_OVERRIDE=PX_LAST","START_DATE_OVERRIDE",TEXT(INDEX(MO_SNA_FPStartDate,0,COLUMN()),"YYYYMMDD"),"END_DATE_OVERRIDE",TEXT(INDEX(MO_Common_QEndDate,0,COLUMN()),"YYYYMMDD")),"N/A")</f>
        <v>N/A</v>
      </c>
      <c r="K784" s="303" t="str">
        <f ca="1">IFERROR(BDP(MO.Ticker.Bloomberg&amp;" Equity","INTERVAL_AVG","MARKET_DATA_OVERRIDE=PX_LAST","START_DATE_OVERRIDE",TEXT(INDEX(MO_SNA_FPStartDate,0,COLUMN()),"YYYYMMDD"),"END_DATE_OVERRIDE",TEXT(INDEX(MO_Common_QEndDate,0,COLUMN()),"YYYYMMDD")),"N/A")</f>
        <v>N/A</v>
      </c>
      <c r="L784" s="303" t="str">
        <f ca="1">IFERROR(BDP(MO.Ticker.Bloomberg&amp;" Equity","INTERVAL_AVG","MARKET_DATA_OVERRIDE=PX_LAST","START_DATE_OVERRIDE",TEXT(INDEX(MO_SNA_FPStartDate,0,COLUMN()),"YYYYMMDD"),"END_DATE_OVERRIDE",TEXT(INDEX(MO_Common_QEndDate,0,COLUMN()),"YYYYMMDD")),"N/A")</f>
        <v>N/A</v>
      </c>
      <c r="M784" s="303" t="str">
        <f ca="1">IFERROR(BDP(MO.Ticker.Bloomberg&amp;" Equity","INTERVAL_AVG","MARKET_DATA_OVERRIDE=PX_LAST","START_DATE_OVERRIDE",TEXT(INDEX(MO_SNA_FPStartDate,0,COLUMN()),"YYYYMMDD"),"END_DATE_OVERRIDE",TEXT(INDEX(MO_Common_QEndDate,0,COLUMN()),"YYYYMMDD")),"N/A")</f>
        <v>N/A</v>
      </c>
      <c r="N784" s="303" t="str">
        <f ca="1">IFERROR(BDP(MO.Ticker.Bloomberg&amp;" Equity","INTERVAL_AVG","MARKET_DATA_OVERRIDE=PX_LAST","START_DATE_OVERRIDE",TEXT(INDEX(MO_SNA_FPStartDate,0,COLUMN()),"YYYYMMDD"),"END_DATE_OVERRIDE",TEXT(INDEX(MO_Common_QEndDate,0,COLUMN()),"YYYYMMDD")),"N/A")</f>
        <v>N/A</v>
      </c>
      <c r="O784" s="303" t="str">
        <f ca="1">IFERROR(BDP(MO.Ticker.Bloomberg&amp;" Equity","INTERVAL_AVG","MARKET_DATA_OVERRIDE=PX_LAST","START_DATE_OVERRIDE",TEXT(INDEX(MO_SNA_FPStartDate,0,COLUMN()),"YYYYMMDD"),"END_DATE_OVERRIDE",TEXT(INDEX(MO_Common_QEndDate,0,COLUMN()),"YYYYMMDD")),"N/A")</f>
        <v>N/A</v>
      </c>
      <c r="P784" s="303" t="str">
        <f ca="1">IFERROR(BDP(MO.Ticker.Bloomberg&amp;" Equity","INTERVAL_AVG","MARKET_DATA_OVERRIDE=PX_LAST","START_DATE_OVERRIDE",TEXT(INDEX(MO_SNA_FPStartDate,0,COLUMN()),"YYYYMMDD"),"END_DATE_OVERRIDE",TEXT(INDEX(MO_Common_QEndDate,0,COLUMN()),"YYYYMMDD")),"N/A")</f>
        <v>N/A</v>
      </c>
      <c r="Q784" s="303" t="str">
        <f ca="1">IFERROR(BDP(MO.Ticker.Bloomberg&amp;" Equity","INTERVAL_AVG","MARKET_DATA_OVERRIDE=PX_LAST","START_DATE_OVERRIDE",TEXT(INDEX(MO_SNA_FPStartDate,0,COLUMN()),"YYYYMMDD"),"END_DATE_OVERRIDE",TEXT(INDEX(MO_Common_QEndDate,0,COLUMN()),"YYYYMMDD")),"N/A")</f>
        <v>N/A</v>
      </c>
      <c r="R784" s="303" t="str">
        <f ca="1">IFERROR(BDP(MO.Ticker.Bloomberg&amp;" Equity","INTERVAL_AVG","MARKET_DATA_OVERRIDE=PX_LAST","START_DATE_OVERRIDE",TEXT(INDEX(MO_SNA_FPStartDate,0,COLUMN()),"YYYYMMDD"),"END_DATE_OVERRIDE",TEXT(INDEX(MO_Common_QEndDate,0,COLUMN()),"YYYYMMDD")),"N/A")</f>
        <v>N/A</v>
      </c>
      <c r="S784" s="303" t="str">
        <f ca="1">IFERROR(BDP(MO.Ticker.Bloomberg&amp;" Equity","INTERVAL_AVG","MARKET_DATA_OVERRIDE=PX_LAST","START_DATE_OVERRIDE",TEXT(INDEX(MO_SNA_FPStartDate,0,COLUMN()),"YYYYMMDD"),"END_DATE_OVERRIDE",TEXT(INDEX(MO_Common_QEndDate,0,COLUMN()),"YYYYMMDD")),"N/A")</f>
        <v>N/A</v>
      </c>
      <c r="T784" s="303" t="str">
        <f ca="1">IFERROR(BDP(MO.Ticker.Bloomberg&amp;" Equity","INTERVAL_AVG","MARKET_DATA_OVERRIDE=PX_LAST","START_DATE_OVERRIDE",TEXT(INDEX(MO_SNA_FPStartDate,0,COLUMN()),"YYYYMMDD"),"END_DATE_OVERRIDE",TEXT(INDEX(MO_Common_QEndDate,0,COLUMN()),"YYYYMMDD")),"N/A")</f>
        <v>N/A</v>
      </c>
      <c r="U784" s="303" t="str">
        <f ca="1">IFERROR(BDP(MO.Ticker.Bloomberg&amp;" Equity","INTERVAL_AVG","MARKET_DATA_OVERRIDE=PX_LAST","START_DATE_OVERRIDE",TEXT(INDEX(MO_SNA_FPStartDate,0,COLUMN()),"YYYYMMDD"),"END_DATE_OVERRIDE",TEXT(INDEX(MO_Common_QEndDate,0,COLUMN()),"YYYYMMDD")),"N/A")</f>
        <v>N/A</v>
      </c>
      <c r="V784" s="303" t="str">
        <f ca="1">IFERROR(BDP(MO.Ticker.Bloomberg&amp;" Equity","INTERVAL_AVG","MARKET_DATA_OVERRIDE=PX_LAST","START_DATE_OVERRIDE",TEXT(INDEX(MO_SNA_FPStartDate,0,COLUMN()),"YYYYMMDD"),"END_DATE_OVERRIDE",TEXT(INDEX(MO_Common_QEndDate,0,COLUMN()),"YYYYMMDD")),"N/A")</f>
        <v>N/A</v>
      </c>
      <c r="W784" s="303" t="str">
        <f ca="1">IFERROR(BDP(MO.Ticker.Bloomberg&amp;" Equity","INTERVAL_AVG","MARKET_DATA_OVERRIDE=PX_LAST","START_DATE_OVERRIDE",TEXT(INDEX(MO_SNA_FPStartDate,0,COLUMN()),"YYYYMMDD"),"END_DATE_OVERRIDE",TEXT(INDEX(MO_Common_QEndDate,0,COLUMN()),"YYYYMMDD")),"N/A")</f>
        <v>N/A</v>
      </c>
      <c r="X784" s="303" t="str">
        <f ca="1">IFERROR(BDP(MO.Ticker.Bloomberg&amp;" Equity","INTERVAL_AVG","MARKET_DATA_OVERRIDE=PX_LAST","START_DATE_OVERRIDE",TEXT(INDEX(MO_SNA_FPStartDate,0,COLUMN()),"YYYYMMDD"),"END_DATE_OVERRIDE",TEXT(INDEX(MO_Common_QEndDate,0,COLUMN()),"YYYYMMDD")),"N/A")</f>
        <v>N/A</v>
      </c>
      <c r="Y784" s="303" t="str">
        <f ca="1">IFERROR(BDP(MO.Ticker.Bloomberg&amp;" Equity","INTERVAL_AVG","MARKET_DATA_OVERRIDE=PX_LAST","START_DATE_OVERRIDE",TEXT(INDEX(MO_SNA_FPStartDate,0,COLUMN()),"YYYYMMDD"),"END_DATE_OVERRIDE",TEXT(INDEX(MO_Common_QEndDate,0,COLUMN()),"YYYYMMDD")),"N/A")</f>
        <v>N/A</v>
      </c>
      <c r="Z784" s="303" t="str">
        <f ca="1">IFERROR(BDP(MO.Ticker.Bloomberg&amp;" Equity","INTERVAL_AVG","MARKET_DATA_OVERRIDE=PX_LAST","START_DATE_OVERRIDE",TEXT(INDEX(MO_SNA_FPStartDate,0,COLUMN()),"YYYYMMDD"),"END_DATE_OVERRIDE",TEXT(INDEX(MO_Common_QEndDate,0,COLUMN()),"YYYYMMDD")),"N/A")</f>
        <v>N/A</v>
      </c>
      <c r="AA784" s="303" t="str">
        <f ca="1">IFERROR(BDP(MO.Ticker.Bloomberg&amp;" Equity","INTERVAL_AVG","MARKET_DATA_OVERRIDE=PX_LAST","START_DATE_OVERRIDE",TEXT(INDEX(MO_SNA_FPStartDate,0,COLUMN()),"YYYYMMDD"),"END_DATE_OVERRIDE",TEXT(INDEX(MO_Common_QEndDate,0,COLUMN()),"YYYYMMDD")),"N/A")</f>
        <v>N/A</v>
      </c>
      <c r="AB784" s="303" t="str">
        <f ca="1">IFERROR(BDP(MO.Ticker.Bloomberg&amp;" Equity","INTERVAL_AVG","MARKET_DATA_OVERRIDE=PX_LAST","START_DATE_OVERRIDE",TEXT(INDEX(MO_SNA_FPStartDate,0,COLUMN()),"YYYYMMDD"),"END_DATE_OVERRIDE",TEXT(INDEX(MO_Common_QEndDate,0,COLUMN()),"YYYYMMDD")),"N/A")</f>
        <v>N/A</v>
      </c>
      <c r="AC784" s="303" t="str">
        <f ca="1">IFERROR(BDP(MO.Ticker.Bloomberg&amp;" Equity","INTERVAL_AVG","MARKET_DATA_OVERRIDE=PX_LAST","START_DATE_OVERRIDE",TEXT(INDEX(MO_SNA_FPStartDate,0,COLUMN()),"YYYYMMDD"),"END_DATE_OVERRIDE",TEXT(INDEX(MO_Common_QEndDate,0,COLUMN()),"YYYYMMDD")),"N/A")</f>
        <v>N/A</v>
      </c>
      <c r="AD784" s="303" t="str">
        <f ca="1">IFERROR(BDP(MO.Ticker.Bloomberg&amp;" Equity","INTERVAL_AVG","MARKET_DATA_OVERRIDE=PX_LAST","START_DATE_OVERRIDE",TEXT(INDEX(MO_SNA_FPStartDate,0,COLUMN()),"YYYYMMDD"),"END_DATE_OVERRIDE",TEXT(INDEX(MO_Common_QEndDate,0,COLUMN()),"YYYYMMDD")),"N/A")</f>
        <v>N/A</v>
      </c>
      <c r="AE784" s="303" t="str">
        <f ca="1">IFERROR(BDP(MO.Ticker.Bloomberg&amp;" Equity","INTERVAL_AVG","MARKET_DATA_OVERRIDE=PX_LAST","START_DATE_OVERRIDE",TEXT(INDEX(MO_SNA_FPStartDate,0,COLUMN()),"YYYYMMDD"),"END_DATE_OVERRIDE",TEXT(INDEX(MO_Common_QEndDate,0,COLUMN()),"YYYYMMDD")),"N/A")</f>
        <v>N/A</v>
      </c>
      <c r="AF784" s="303" t="str">
        <f ca="1">IFERROR(BDP(MO.Ticker.Bloomberg&amp;" Equity","INTERVAL_AVG","MARKET_DATA_OVERRIDE=PX_LAST","START_DATE_OVERRIDE",TEXT(INDEX(MO_SNA_FPStartDate,0,COLUMN()),"YYYYMMDD"),"END_DATE_OVERRIDE",TEXT(INDEX(MO_Common_QEndDate,0,COLUMN()),"YYYYMMDD")),"N/A")</f>
        <v>N/A</v>
      </c>
      <c r="AG784" s="303" t="str">
        <f ca="1">IFERROR(BDP(MO.Ticker.Bloomberg&amp;" Equity","INTERVAL_AVG","MARKET_DATA_OVERRIDE=PX_LAST","START_DATE_OVERRIDE",TEXT(INDEX(MO_SNA_FPStartDate,0,COLUMN()),"YYYYMMDD"),"END_DATE_OVERRIDE",TEXT(INDEX(MO_Common_QEndDate,0,COLUMN()),"YYYYMMDD")),"N/A")</f>
        <v>N/A</v>
      </c>
      <c r="AH784" s="303" t="str">
        <f ca="1">IFERROR(BDP(MO.Ticker.Bloomberg&amp;" Equity","INTERVAL_AVG","MARKET_DATA_OVERRIDE=PX_LAST","START_DATE_OVERRIDE",TEXT(INDEX(MO_SNA_FPStartDate,0,COLUMN()),"YYYYMMDD"),"END_DATE_OVERRIDE",TEXT(INDEX(MO_Common_QEndDate,0,COLUMN()),"YYYYMMDD")),"N/A")</f>
        <v>N/A</v>
      </c>
      <c r="AI784" s="303" t="str">
        <f ca="1">IFERROR(BDP(MO.Ticker.Bloomberg&amp;" Equity","INTERVAL_AVG","MARKET_DATA_OVERRIDE=PX_LAST","START_DATE_OVERRIDE",TEXT(INDEX(MO_SNA_FPStartDate,0,COLUMN()),"YYYYMMDD"),"END_DATE_OVERRIDE",TEXT(INDEX(MO_Common_QEndDate,0,COLUMN()),"YYYYMMDD")),"N/A")</f>
        <v>N/A</v>
      </c>
      <c r="AJ784" s="303" t="str">
        <f ca="1">IFERROR(BDP(MO.Ticker.Bloomberg&amp;" Equity","INTERVAL_AVG","MARKET_DATA_OVERRIDE=PX_LAST","START_DATE_OVERRIDE",TEXT(INDEX(MO_SNA_FPStartDate,0,COLUMN()),"YYYYMMDD"),"END_DATE_OVERRIDE",TEXT(INDEX(MO_Common_QEndDate,0,COLUMN()),"YYYYMMDD")),"N/A")</f>
        <v>N/A</v>
      </c>
      <c r="AK784" s="303" t="str">
        <f ca="1">IFERROR(BDP(MO.Ticker.Bloomberg&amp;" Equity","INTERVAL_AVG","MARKET_DATA_OVERRIDE=PX_LAST","START_DATE_OVERRIDE",TEXT(INDEX(MO_SNA_FPStartDate,0,COLUMN()),"YYYYMMDD"),"END_DATE_OVERRIDE",TEXT(INDEX(MO_Common_QEndDate,0,COLUMN()),"YYYYMMDD")),"N/A")</f>
        <v>N/A</v>
      </c>
      <c r="AL784" s="303" t="str">
        <f ca="1">IFERROR(BDP(MO.Ticker.Bloomberg&amp;" Equity","INTERVAL_AVG","MARKET_DATA_OVERRIDE=PX_LAST","START_DATE_OVERRIDE",TEXT(INDEX(MO_SNA_FPStartDate,0,COLUMN()),"YYYYMMDD"),"END_DATE_OVERRIDE",TEXT(INDEX(MO_Common_QEndDate,0,COLUMN()),"YYYYMMDD")),"N/A")</f>
        <v>N/A</v>
      </c>
      <c r="AM784" s="303" t="str">
        <f ca="1">IFERROR(BDP(MO.Ticker.Bloomberg&amp;" Equity","INTERVAL_AVG","MARKET_DATA_OVERRIDE=PX_LAST","START_DATE_OVERRIDE",TEXT(INDEX(MO_SNA_FPStartDate,0,COLUMN()),"YYYYMMDD"),"END_DATE_OVERRIDE",TEXT(INDEX(MO_Common_QEndDate,0,COLUMN()),"YYYYMMDD")),"N/A")</f>
        <v>N/A</v>
      </c>
      <c r="AN784" s="303" t="str">
        <f ca="1">IFERROR(BDP(MO.Ticker.Bloomberg&amp;" Equity","INTERVAL_AVG","MARKET_DATA_OVERRIDE=PX_LAST","START_DATE_OVERRIDE",TEXT(INDEX(MO_SNA_FPStartDate,0,COLUMN()),"YYYYMMDD"),"END_DATE_OVERRIDE",TEXT(INDEX(MO_Common_QEndDate,0,COLUMN()),"YYYYMMDD")),"N/A")</f>
        <v>N/A</v>
      </c>
      <c r="AO784" s="303" t="str">
        <f ca="1">IFERROR(BDP(MO.Ticker.Bloomberg&amp;" Equity","INTERVAL_AVG","MARKET_DATA_OVERRIDE=PX_LAST","START_DATE_OVERRIDE",TEXT(INDEX(MO_SNA_FPStartDate,0,COLUMN()),"YYYYMMDD"),"END_DATE_OVERRIDE",TEXT(INDEX(MO_Common_QEndDate,0,COLUMN()),"YYYYMMDD")),"N/A")</f>
        <v>N/A</v>
      </c>
      <c r="AP784" s="303" t="str">
        <f ca="1">IFERROR(BDP(MO.Ticker.Bloomberg&amp;" Equity","INTERVAL_AVG","MARKET_DATA_OVERRIDE=PX_LAST","START_DATE_OVERRIDE",TEXT(INDEX(MO_SNA_FPStartDate,0,COLUMN()),"YYYYMMDD"),"END_DATE_OVERRIDE",TEXT(INDEX(MO_Common_QEndDate,0,COLUMN()),"YYYYMMDD")),"N/A")</f>
        <v>N/A</v>
      </c>
      <c r="AQ784" s="303" t="str">
        <f ca="1">IFERROR(BDP(MO.Ticker.Bloomberg&amp;" Equity","INTERVAL_AVG","MARKET_DATA_OVERRIDE=PX_LAST","START_DATE_OVERRIDE",TEXT(INDEX(MO_SNA_FPStartDate,0,COLUMN()),"YYYYMMDD"),"END_DATE_OVERRIDE",TEXT(INDEX(MO_Common_QEndDate,0,COLUMN()),"YYYYMMDD")),"N/A")</f>
        <v>N/A</v>
      </c>
      <c r="AR784" s="303" t="str">
        <f ca="1">IFERROR(BDP(MO.Ticker.Bloomberg&amp;" Equity","INTERVAL_AVG","MARKET_DATA_OVERRIDE=PX_LAST","START_DATE_OVERRIDE",TEXT(INDEX(MO_SNA_FPStartDate,0,COLUMN()),"YYYYMMDD"),"END_DATE_OVERRIDE",TEXT(INDEX(MO_Common_QEndDate,0,COLUMN()),"YYYYMMDD")),"N/A")</f>
        <v>N/A</v>
      </c>
      <c r="AS784" s="303" t="str">
        <f ca="1">IFERROR(BDP(MO.Ticker.Bloomberg&amp;" Equity","INTERVAL_AVG","MARKET_DATA_OVERRIDE=PX_LAST","START_DATE_OVERRIDE",TEXT(INDEX(MO_SNA_FPStartDate,0,COLUMN()),"YYYYMMDD"),"END_DATE_OVERRIDE",TEXT(INDEX(MO_Common_QEndDate,0,COLUMN()),"YYYYMMDD")),"N/A")</f>
        <v>N/A</v>
      </c>
      <c r="AT784" s="303" t="str">
        <f ca="1">IFERROR(BDP(MO.Ticker.Bloomberg&amp;" Equity","INTERVAL_AVG","MARKET_DATA_OVERRIDE=PX_LAST","START_DATE_OVERRIDE",TEXT(INDEX(MO_SNA_FPStartDate,0,COLUMN()),"YYYYMMDD"),"END_DATE_OVERRIDE",TEXT(INDEX(MO_Common_QEndDate,0,COLUMN()),"YYYYMMDD")),"N/A")</f>
        <v>N/A</v>
      </c>
      <c r="AU784" s="303" t="str">
        <f ca="1">IFERROR(BDP(MO.Ticker.Bloomberg&amp;" Equity","INTERVAL_AVG","MARKET_DATA_OVERRIDE=PX_LAST","START_DATE_OVERRIDE",TEXT(INDEX(MO_SNA_FPStartDate,0,COLUMN()),"YYYYMMDD"),"END_DATE_OVERRIDE",TEXT(INDEX(MO_Common_QEndDate,0,COLUMN()),"YYYYMMDD")),"N/A")</f>
        <v>N/A</v>
      </c>
      <c r="AV784" s="303" t="str">
        <f ca="1">IFERROR(BDP(MO.Ticker.Bloomberg&amp;" Equity","INTERVAL_AVG","MARKET_DATA_OVERRIDE=PX_LAST","START_DATE_OVERRIDE",TEXT(INDEX(MO_SNA_FPStartDate,0,COLUMN()),"YYYYMMDD"),"END_DATE_OVERRIDE",TEXT(INDEX(MO_Common_QEndDate,0,COLUMN()),"YYYYMMDD")),"N/A")</f>
        <v>N/A</v>
      </c>
      <c r="AW784" s="604" t="str">
        <f ca="1">IFERROR(BDP(MO.Ticker.Bloomberg&amp;" Equity","INTERVAL_AVG","MARKET_DATA_OVERRIDE=PX_LAST","START_DATE_OVERRIDE",TEXT(INDEX(MO_SNA_FPStartDate,0,COLUMN()),"YYYYMMDD"),"END_DATE_OVERRIDE",TEXT(INDEX(MO_Common_QEndDate,0,COLUMN()),"YYYYMMDD")),"N/A")</f>
        <v>N/A</v>
      </c>
      <c r="AX784" s="303" t="str">
        <f ca="1">IFERROR(BDP(MO.Ticker.Bloomberg&amp;" Equity","INTERVAL_AVG","MARKET_DATA_OVERRIDE=PX_LAST","START_DATE_OVERRIDE",TEXT(INDEX(MO_SNA_FPStartDate,0,COLUMN()),"YYYYMMDD"),"END_DATE_OVERRIDE",TEXT(INDEX(MO_Common_QEndDate,0,COLUMN()),"YYYYMMDD")),"N/A")</f>
        <v>N/A</v>
      </c>
      <c r="AY784" s="303" t="str">
        <f ca="1">IFERROR(BDP(MO.Ticker.Bloomberg&amp;" Equity","INTERVAL_AVG","MARKET_DATA_OVERRIDE=PX_LAST","START_DATE_OVERRIDE",TEXT(INDEX(MO_SNA_FPStartDate,0,COLUMN()),"YYYYMMDD"),"END_DATE_OVERRIDE",TEXT(INDEX(MO_Common_QEndDate,0,COLUMN()),"YYYYMMDD")),"N/A")</f>
        <v>N/A</v>
      </c>
      <c r="AZ784" s="303" t="str">
        <f ca="1">IFERROR(BDP(MO.Ticker.Bloomberg&amp;" Equity","INTERVAL_AVG","MARKET_DATA_OVERRIDE=PX_LAST","START_DATE_OVERRIDE",TEXT(INDEX(MO_SNA_FPStartDate,0,COLUMN()),"YYYYMMDD"),"END_DATE_OVERRIDE",TEXT(INDEX(MO_Common_QEndDate,0,COLUMN()),"YYYYMMDD")),"N/A")</f>
        <v>N/A</v>
      </c>
      <c r="BA784" s="303" t="str">
        <f ca="1">IFERROR(BDP(MO.Ticker.Bloomberg&amp;" Equity","INTERVAL_AVG","MARKET_DATA_OVERRIDE=PX_LAST","START_DATE_OVERRIDE",TEXT(INDEX(MO_SNA_FPStartDate,0,COLUMN()),"YYYYMMDD"),"END_DATE_OVERRIDE",TEXT(INDEX(MO_Common_QEndDate,0,COLUMN()),"YYYYMMDD")),"N/A")</f>
        <v>N/A</v>
      </c>
      <c r="BB784" s="303" t="str">
        <f ca="1">IFERROR(BDP(MO.Ticker.Bloomberg&amp;" Equity","INTERVAL_AVG","MARKET_DATA_OVERRIDE=PX_LAST","START_DATE_OVERRIDE",TEXT(INDEX(MO_SNA_FPStartDate,0,COLUMN()),"YYYYMMDD"),"END_DATE_OVERRIDE",TEXT(INDEX(MO_Common_QEndDate,0,COLUMN()),"YYYYMMDD")),"N/A")</f>
        <v>N/A</v>
      </c>
      <c r="BC784" s="303" t="str">
        <f ca="1">IFERROR(BDP(MO.Ticker.Bloomberg&amp;" Equity","INTERVAL_AVG","MARKET_DATA_OVERRIDE=PX_LAST","START_DATE_OVERRIDE",TEXT(INDEX(MO_SNA_FPStartDate,0,COLUMN()),"YYYYMMDD"),"END_DATE_OVERRIDE",TEXT(INDEX(MO_Common_QEndDate,0,COLUMN()),"YYYYMMDD")),"N/A")</f>
        <v>N/A</v>
      </c>
      <c r="BD784" s="303" t="str">
        <f ca="1">IFERROR(BDP(MO.Ticker.Bloomberg&amp;" Equity","INTERVAL_AVG","MARKET_DATA_OVERRIDE=PX_LAST","START_DATE_OVERRIDE",TEXT(INDEX(MO_SNA_FPStartDate,0,COLUMN()),"YYYYMMDD"),"END_DATE_OVERRIDE",TEXT(INDEX(MO_Common_QEndDate,0,COLUMN()),"YYYYMMDD")),"N/A")</f>
        <v>N/A</v>
      </c>
      <c r="BE784" s="303" t="str">
        <f ca="1">IFERROR(BDP(MO.Ticker.Bloomberg&amp;" Equity","INTERVAL_AVG","MARKET_DATA_OVERRIDE=PX_LAST","START_DATE_OVERRIDE",TEXT(INDEX(MO_SNA_FPStartDate,0,COLUMN()),"YYYYMMDD"),"END_DATE_OVERRIDE",TEXT(INDEX(MO_Common_QEndDate,0,COLUMN()),"YYYYMMDD")),"N/A")</f>
        <v>N/A</v>
      </c>
      <c r="BF784" s="303" t="str">
        <f ca="1">IFERROR(BDP(MO.Ticker.Bloomberg&amp;" Equity","INTERVAL_AVG","MARKET_DATA_OVERRIDE=PX_LAST","START_DATE_OVERRIDE",TEXT(INDEX(MO_SNA_FPStartDate,0,COLUMN()),"YYYYMMDD"),"END_DATE_OVERRIDE",TEXT(INDEX(MO_Common_QEndDate,0,COLUMN()),"YYYYMMDD")),"N/A")</f>
        <v>N/A</v>
      </c>
      <c r="BG784" s="305" t="str">
        <f ca="1">IFERROR(BDP(MO.Ticker.Bloomberg&amp;" Equity","INTERVAL_AVG","MARKET_DATA_OVERRIDE=PX_LAST","START_DATE_OVERRIDE",TEXT(INDEX(MO_SNA_FPStartDate,0,COLUMN()),"YYYYMMDD"),"END_DATE_OVERRIDE",TEXT(INDEX(MO_Common_QEndDate,0,COLUMN()),"YYYYMMDD")),"N/A")</f>
        <v>N/A</v>
      </c>
      <c r="BH784" s="277"/>
    </row>
    <row r="785" spans="1:60" customFormat="1" hidden="1" outlineLevel="1" x14ac:dyDescent="0.25">
      <c r="A785" s="306" t="s">
        <v>263</v>
      </c>
      <c r="B785" s="303"/>
      <c r="C785" s="304" t="str">
        <f ca="1">IFERROR(CIQAVG(MO.Ticker.CapIQ,"IQ_LASTSALEPRICE",INDEX(MO_SNA_FPStartDate,0,COLUMN()),INDEX(MO_Common_QEndDate,0,COLUMN())),"N/A")</f>
        <v>N/A</v>
      </c>
      <c r="D785" s="304" t="str">
        <f ca="1">IFERROR(CIQAVG(MO.Ticker.CapIQ,"IQ_LASTSALEPRICE",INDEX(MO_SNA_FPStartDate,0,COLUMN()),INDEX(MO_Common_QEndDate,0,COLUMN())),"N/A")</f>
        <v>N/A</v>
      </c>
      <c r="E785" s="303" t="str">
        <f ca="1">IFERROR(CIQAVG(MO.Ticker.CapIQ,"IQ_LASTSALEPRICE",INDEX(MO_SNA_FPStartDate,0,COLUMN()),INDEX(MO_Common_QEndDate,0,COLUMN())),"N/A")</f>
        <v>N/A</v>
      </c>
      <c r="F785" s="303" t="str">
        <f ca="1">IFERROR(CIQAVG(MO.Ticker.CapIQ,"IQ_LASTSALEPRICE",INDEX(MO_SNA_FPStartDate,0,COLUMN()),INDEX(MO_Common_QEndDate,0,COLUMN())),"N/A")</f>
        <v>N/A</v>
      </c>
      <c r="G785" s="303" t="str">
        <f ca="1">IFERROR(CIQAVG(MO.Ticker.CapIQ,"IQ_LASTSALEPRICE",INDEX(MO_SNA_FPStartDate,0,COLUMN()),INDEX(MO_Common_QEndDate,0,COLUMN())),"N/A")</f>
        <v>N/A</v>
      </c>
      <c r="H785" s="303" t="str">
        <f ca="1">IFERROR(CIQAVG(MO.Ticker.CapIQ,"IQ_LASTSALEPRICE",INDEX(MO_SNA_FPStartDate,0,COLUMN()),INDEX(MO_Common_QEndDate,0,COLUMN())),"N/A")</f>
        <v>N/A</v>
      </c>
      <c r="I785" s="303" t="str">
        <f ca="1">IFERROR(CIQAVG(MO.Ticker.CapIQ,"IQ_LASTSALEPRICE",INDEX(MO_SNA_FPStartDate,0,COLUMN()),INDEX(MO_Common_QEndDate,0,COLUMN())),"N/A")</f>
        <v>N/A</v>
      </c>
      <c r="J785" s="303" t="str">
        <f ca="1">IFERROR(CIQAVG(MO.Ticker.CapIQ,"IQ_LASTSALEPRICE",INDEX(MO_SNA_FPStartDate,0,COLUMN()),INDEX(MO_Common_QEndDate,0,COLUMN())),"N/A")</f>
        <v>N/A</v>
      </c>
      <c r="K785" s="303" t="str">
        <f ca="1">IFERROR(CIQAVG(MO.Ticker.CapIQ,"IQ_LASTSALEPRICE",INDEX(MO_SNA_FPStartDate,0,COLUMN()),INDEX(MO_Common_QEndDate,0,COLUMN())),"N/A")</f>
        <v>N/A</v>
      </c>
      <c r="L785" s="303" t="str">
        <f ca="1">IFERROR(CIQAVG(MO.Ticker.CapIQ,"IQ_LASTSALEPRICE",INDEX(MO_SNA_FPStartDate,0,COLUMN()),INDEX(MO_Common_QEndDate,0,COLUMN())),"N/A")</f>
        <v>N/A</v>
      </c>
      <c r="M785" s="303" t="str">
        <f ca="1">IFERROR(CIQAVG(MO.Ticker.CapIQ,"IQ_LASTSALEPRICE",INDEX(MO_SNA_FPStartDate,0,COLUMN()),INDEX(MO_Common_QEndDate,0,COLUMN())),"N/A")</f>
        <v>N/A</v>
      </c>
      <c r="N785" s="303" t="str">
        <f ca="1">IFERROR(CIQAVG(MO.Ticker.CapIQ,"IQ_LASTSALEPRICE",INDEX(MO_SNA_FPStartDate,0,COLUMN()),INDEX(MO_Common_QEndDate,0,COLUMN())),"N/A")</f>
        <v>N/A</v>
      </c>
      <c r="O785" s="303" t="str">
        <f ca="1">IFERROR(CIQAVG(MO.Ticker.CapIQ,"IQ_LASTSALEPRICE",INDEX(MO_SNA_FPStartDate,0,COLUMN()),INDEX(MO_Common_QEndDate,0,COLUMN())),"N/A")</f>
        <v>N/A</v>
      </c>
      <c r="P785" s="303" t="str">
        <f ca="1">IFERROR(CIQAVG(MO.Ticker.CapIQ,"IQ_LASTSALEPRICE",INDEX(MO_SNA_FPStartDate,0,COLUMN()),INDEX(MO_Common_QEndDate,0,COLUMN())),"N/A")</f>
        <v>N/A</v>
      </c>
      <c r="Q785" s="303" t="str">
        <f ca="1">IFERROR(CIQAVG(MO.Ticker.CapIQ,"IQ_LASTSALEPRICE",INDEX(MO_SNA_FPStartDate,0,COLUMN()),INDEX(MO_Common_QEndDate,0,COLUMN())),"N/A")</f>
        <v>N/A</v>
      </c>
      <c r="R785" s="303" t="str">
        <f ca="1">IFERROR(CIQAVG(MO.Ticker.CapIQ,"IQ_LASTSALEPRICE",INDEX(MO_SNA_FPStartDate,0,COLUMN()),INDEX(MO_Common_QEndDate,0,COLUMN())),"N/A")</f>
        <v>N/A</v>
      </c>
      <c r="S785" s="303" t="str">
        <f ca="1">IFERROR(CIQAVG(MO.Ticker.CapIQ,"IQ_LASTSALEPRICE",INDEX(MO_SNA_FPStartDate,0,COLUMN()),INDEX(MO_Common_QEndDate,0,COLUMN())),"N/A")</f>
        <v>N/A</v>
      </c>
      <c r="T785" s="303" t="str">
        <f ca="1">IFERROR(CIQAVG(MO.Ticker.CapIQ,"IQ_LASTSALEPRICE",INDEX(MO_SNA_FPStartDate,0,COLUMN()),INDEX(MO_Common_QEndDate,0,COLUMN())),"N/A")</f>
        <v>N/A</v>
      </c>
      <c r="U785" s="303" t="str">
        <f ca="1">IFERROR(CIQAVG(MO.Ticker.CapIQ,"IQ_LASTSALEPRICE",INDEX(MO_SNA_FPStartDate,0,COLUMN()),INDEX(MO_Common_QEndDate,0,COLUMN())),"N/A")</f>
        <v>N/A</v>
      </c>
      <c r="V785" s="303" t="str">
        <f ca="1">IFERROR(CIQAVG(MO.Ticker.CapIQ,"IQ_LASTSALEPRICE",INDEX(MO_SNA_FPStartDate,0,COLUMN()),INDEX(MO_Common_QEndDate,0,COLUMN())),"N/A")</f>
        <v>N/A</v>
      </c>
      <c r="W785" s="303" t="str">
        <f ca="1">IFERROR(CIQAVG(MO.Ticker.CapIQ,"IQ_LASTSALEPRICE",INDEX(MO_SNA_FPStartDate,0,COLUMN()),INDEX(MO_Common_QEndDate,0,COLUMN())),"N/A")</f>
        <v>N/A</v>
      </c>
      <c r="X785" s="303" t="str">
        <f ca="1">IFERROR(CIQAVG(MO.Ticker.CapIQ,"IQ_LASTSALEPRICE",INDEX(MO_SNA_FPStartDate,0,COLUMN()),INDEX(MO_Common_QEndDate,0,COLUMN())),"N/A")</f>
        <v>N/A</v>
      </c>
      <c r="Y785" s="303" t="str">
        <f ca="1">IFERROR(CIQAVG(MO.Ticker.CapIQ,"IQ_LASTSALEPRICE",INDEX(MO_SNA_FPStartDate,0,COLUMN()),INDEX(MO_Common_QEndDate,0,COLUMN())),"N/A")</f>
        <v>N/A</v>
      </c>
      <c r="Z785" s="303" t="str">
        <f ca="1">IFERROR(CIQAVG(MO.Ticker.CapIQ,"IQ_LASTSALEPRICE",INDEX(MO_SNA_FPStartDate,0,COLUMN()),INDEX(MO_Common_QEndDate,0,COLUMN())),"N/A")</f>
        <v>N/A</v>
      </c>
      <c r="AA785" s="303" t="str">
        <f ca="1">IFERROR(CIQAVG(MO.Ticker.CapIQ,"IQ_LASTSALEPRICE",INDEX(MO_SNA_FPStartDate,0,COLUMN()),INDEX(MO_Common_QEndDate,0,COLUMN())),"N/A")</f>
        <v>N/A</v>
      </c>
      <c r="AB785" s="303" t="str">
        <f ca="1">IFERROR(CIQAVG(MO.Ticker.CapIQ,"IQ_LASTSALEPRICE",INDEX(MO_SNA_FPStartDate,0,COLUMN()),INDEX(MO_Common_QEndDate,0,COLUMN())),"N/A")</f>
        <v>N/A</v>
      </c>
      <c r="AC785" s="303" t="str">
        <f ca="1">IFERROR(CIQAVG(MO.Ticker.CapIQ,"IQ_LASTSALEPRICE",INDEX(MO_SNA_FPStartDate,0,COLUMN()),INDEX(MO_Common_QEndDate,0,COLUMN())),"N/A")</f>
        <v>N/A</v>
      </c>
      <c r="AD785" s="303" t="str">
        <f ca="1">IFERROR(CIQAVG(MO.Ticker.CapIQ,"IQ_LASTSALEPRICE",INDEX(MO_SNA_FPStartDate,0,COLUMN()),INDEX(MO_Common_QEndDate,0,COLUMN())),"N/A")</f>
        <v>N/A</v>
      </c>
      <c r="AE785" s="303" t="str">
        <f ca="1">IFERROR(CIQAVG(MO.Ticker.CapIQ,"IQ_LASTSALEPRICE",INDEX(MO_SNA_FPStartDate,0,COLUMN()),INDEX(MO_Common_QEndDate,0,COLUMN())),"N/A")</f>
        <v>N/A</v>
      </c>
      <c r="AF785" s="303" t="str">
        <f ca="1">IFERROR(CIQAVG(MO.Ticker.CapIQ,"IQ_LASTSALEPRICE",INDEX(MO_SNA_FPStartDate,0,COLUMN()),INDEX(MO_Common_QEndDate,0,COLUMN())),"N/A")</f>
        <v>N/A</v>
      </c>
      <c r="AG785" s="303" t="str">
        <f ca="1">IFERROR(CIQAVG(MO.Ticker.CapIQ,"IQ_LASTSALEPRICE",INDEX(MO_SNA_FPStartDate,0,COLUMN()),INDEX(MO_Common_QEndDate,0,COLUMN())),"N/A")</f>
        <v>N/A</v>
      </c>
      <c r="AH785" s="303" t="str">
        <f ca="1">IFERROR(CIQAVG(MO.Ticker.CapIQ,"IQ_LASTSALEPRICE",INDEX(MO_SNA_FPStartDate,0,COLUMN()),INDEX(MO_Common_QEndDate,0,COLUMN())),"N/A")</f>
        <v>N/A</v>
      </c>
      <c r="AI785" s="303" t="str">
        <f ca="1">IFERROR(CIQAVG(MO.Ticker.CapIQ,"IQ_LASTSALEPRICE",INDEX(MO_SNA_FPStartDate,0,COLUMN()),INDEX(MO_Common_QEndDate,0,COLUMN())),"N/A")</f>
        <v>N/A</v>
      </c>
      <c r="AJ785" s="303" t="str">
        <f ca="1">IFERROR(CIQAVG(MO.Ticker.CapIQ,"IQ_LASTSALEPRICE",INDEX(MO_SNA_FPStartDate,0,COLUMN()),INDEX(MO_Common_QEndDate,0,COLUMN())),"N/A")</f>
        <v>N/A</v>
      </c>
      <c r="AK785" s="303" t="str">
        <f ca="1">IFERROR(CIQAVG(MO.Ticker.CapIQ,"IQ_LASTSALEPRICE",INDEX(MO_SNA_FPStartDate,0,COLUMN()),INDEX(MO_Common_QEndDate,0,COLUMN())),"N/A")</f>
        <v>N/A</v>
      </c>
      <c r="AL785" s="303" t="str">
        <f ca="1">IFERROR(CIQAVG(MO.Ticker.CapIQ,"IQ_LASTSALEPRICE",INDEX(MO_SNA_FPStartDate,0,COLUMN()),INDEX(MO_Common_QEndDate,0,COLUMN())),"N/A")</f>
        <v>N/A</v>
      </c>
      <c r="AM785" s="303" t="str">
        <f ca="1">IFERROR(CIQAVG(MO.Ticker.CapIQ,"IQ_LASTSALEPRICE",INDEX(MO_SNA_FPStartDate,0,COLUMN()),INDEX(MO_Common_QEndDate,0,COLUMN())),"N/A")</f>
        <v>N/A</v>
      </c>
      <c r="AN785" s="303" t="str">
        <f ca="1">IFERROR(CIQAVG(MO.Ticker.CapIQ,"IQ_LASTSALEPRICE",INDEX(MO_SNA_FPStartDate,0,COLUMN()),INDEX(MO_Common_QEndDate,0,COLUMN())),"N/A")</f>
        <v>N/A</v>
      </c>
      <c r="AO785" s="303" t="str">
        <f ca="1">IFERROR(CIQAVG(MO.Ticker.CapIQ,"IQ_LASTSALEPRICE",INDEX(MO_SNA_FPStartDate,0,COLUMN()),INDEX(MO_Common_QEndDate,0,COLUMN())),"N/A")</f>
        <v>N/A</v>
      </c>
      <c r="AP785" s="303" t="str">
        <f ca="1">IFERROR(CIQAVG(MO.Ticker.CapIQ,"IQ_LASTSALEPRICE",INDEX(MO_SNA_FPStartDate,0,COLUMN()),INDEX(MO_Common_QEndDate,0,COLUMN())),"N/A")</f>
        <v>N/A</v>
      </c>
      <c r="AQ785" s="303" t="str">
        <f ca="1">IFERROR(CIQAVG(MO.Ticker.CapIQ,"IQ_LASTSALEPRICE",INDEX(MO_SNA_FPStartDate,0,COLUMN()),INDEX(MO_Common_QEndDate,0,COLUMN())),"N/A")</f>
        <v>N/A</v>
      </c>
      <c r="AR785" s="303" t="str">
        <f ca="1">IFERROR(CIQAVG(MO.Ticker.CapIQ,"IQ_LASTSALEPRICE",INDEX(MO_SNA_FPStartDate,0,COLUMN()),INDEX(MO_Common_QEndDate,0,COLUMN())),"N/A")</f>
        <v>N/A</v>
      </c>
      <c r="AS785" s="303" t="str">
        <f ca="1">IFERROR(CIQAVG(MO.Ticker.CapIQ,"IQ_LASTSALEPRICE",INDEX(MO_SNA_FPStartDate,0,COLUMN()),INDEX(MO_Common_QEndDate,0,COLUMN())),"N/A")</f>
        <v>N/A</v>
      </c>
      <c r="AT785" s="303" t="str">
        <f ca="1">IFERROR(CIQAVG(MO.Ticker.CapIQ,"IQ_LASTSALEPRICE",INDEX(MO_SNA_FPStartDate,0,COLUMN()),INDEX(MO_Common_QEndDate,0,COLUMN())),"N/A")</f>
        <v>N/A</v>
      </c>
      <c r="AU785" s="303" t="str">
        <f ca="1">IFERROR(CIQAVG(MO.Ticker.CapIQ,"IQ_LASTSALEPRICE",INDEX(MO_SNA_FPStartDate,0,COLUMN()),INDEX(MO_Common_QEndDate,0,COLUMN())),"N/A")</f>
        <v>N/A</v>
      </c>
      <c r="AV785" s="303" t="str">
        <f ca="1">IFERROR(CIQAVG(MO.Ticker.CapIQ,"IQ_LASTSALEPRICE",INDEX(MO_SNA_FPStartDate,0,COLUMN()),INDEX(MO_Common_QEndDate,0,COLUMN())),"N/A")</f>
        <v>N/A</v>
      </c>
      <c r="AW785" s="604" t="str">
        <f ca="1">IFERROR(CIQAVG(MO.Ticker.CapIQ,"IQ_LASTSALEPRICE",INDEX(MO_SNA_FPStartDate,0,COLUMN()),INDEX(MO_Common_QEndDate,0,COLUMN())),"N/A")</f>
        <v>N/A</v>
      </c>
      <c r="AX785" s="303" t="str">
        <f ca="1">IFERROR(CIQAVG(MO.Ticker.CapIQ,"IQ_LASTSALEPRICE",INDEX(MO_SNA_FPStartDate,0,COLUMN()),INDEX(MO_Common_QEndDate,0,COLUMN())),"N/A")</f>
        <v>N/A</v>
      </c>
      <c r="AY785" s="303" t="str">
        <f ca="1">IFERROR(CIQAVG(MO.Ticker.CapIQ,"IQ_LASTSALEPRICE",INDEX(MO_SNA_FPStartDate,0,COLUMN()),INDEX(MO_Common_QEndDate,0,COLUMN())),"N/A")</f>
        <v>N/A</v>
      </c>
      <c r="AZ785" s="303" t="str">
        <f ca="1">IFERROR(CIQAVG(MO.Ticker.CapIQ,"IQ_LASTSALEPRICE",INDEX(MO_SNA_FPStartDate,0,COLUMN()),INDEX(MO_Common_QEndDate,0,COLUMN())),"N/A")</f>
        <v>N/A</v>
      </c>
      <c r="BA785" s="303" t="str">
        <f ca="1">IFERROR(CIQAVG(MO.Ticker.CapIQ,"IQ_LASTSALEPRICE",INDEX(MO_SNA_FPStartDate,0,COLUMN()),INDEX(MO_Common_QEndDate,0,COLUMN())),"N/A")</f>
        <v>N/A</v>
      </c>
      <c r="BB785" s="303" t="str">
        <f ca="1">IFERROR(CIQAVG(MO.Ticker.CapIQ,"IQ_LASTSALEPRICE",INDEX(MO_SNA_FPStartDate,0,COLUMN()),INDEX(MO_Common_QEndDate,0,COLUMN())),"N/A")</f>
        <v>N/A</v>
      </c>
      <c r="BC785" s="303" t="str">
        <f ca="1">IFERROR(CIQAVG(MO.Ticker.CapIQ,"IQ_LASTSALEPRICE",INDEX(MO_SNA_FPStartDate,0,COLUMN()),INDEX(MO_Common_QEndDate,0,COLUMN())),"N/A")</f>
        <v>N/A</v>
      </c>
      <c r="BD785" s="303" t="str">
        <f ca="1">IFERROR(CIQAVG(MO.Ticker.CapIQ,"IQ_LASTSALEPRICE",INDEX(MO_SNA_FPStartDate,0,COLUMN()),INDEX(MO_Common_QEndDate,0,COLUMN())),"N/A")</f>
        <v>N/A</v>
      </c>
      <c r="BE785" s="303" t="str">
        <f ca="1">IFERROR(CIQAVG(MO.Ticker.CapIQ,"IQ_LASTSALEPRICE",INDEX(MO_SNA_FPStartDate,0,COLUMN()),INDEX(MO_Common_QEndDate,0,COLUMN())),"N/A")</f>
        <v>N/A</v>
      </c>
      <c r="BF785" s="303" t="str">
        <f ca="1">IFERROR(CIQAVG(MO.Ticker.CapIQ,"IQ_LASTSALEPRICE",INDEX(MO_SNA_FPStartDate,0,COLUMN()),INDEX(MO_Common_QEndDate,0,COLUMN())),"N/A")</f>
        <v>N/A</v>
      </c>
      <c r="BG785" s="305" t="str">
        <f ca="1">IFERROR(CIQAVG(MO.Ticker.CapIQ,"IQ_LASTSALEPRICE",INDEX(MO_SNA_FPStartDate,0,COLUMN()),INDEX(MO_Common_QEndDate,0,COLUMN())),"N/A")</f>
        <v>N/A</v>
      </c>
      <c r="BH785" s="277"/>
    </row>
    <row r="786" spans="1:60" customFormat="1" hidden="1" outlineLevel="1" x14ac:dyDescent="0.25">
      <c r="A786" s="306" t="s">
        <v>264</v>
      </c>
      <c r="B786" s="303"/>
      <c r="C786" s="304" t="str">
        <f ca="1">IFERROR(FDS(MO.Ticker.FactSet,"P_PRICE_AVG"&amp;"("&amp;INDEX(MO_SNA_FPStartDate,0,COLUMN())&amp;","&amp;INDEX(MO_Common_QEndDate,0,COLUMN())&amp;",,,,""PRICE"",""CLOSE"")"),"N/A")</f>
        <v>N/A</v>
      </c>
      <c r="D786" s="304" t="str">
        <f ca="1">IFERROR(FDS(MO.Ticker.FactSet,"P_PRICE_AVG"&amp;"("&amp;INDEX(MO_SNA_FPStartDate,0,COLUMN())&amp;","&amp;INDEX(MO_Common_QEndDate,0,COLUMN())&amp;",,,,""PRICE"",""CLOSE"")"),"N/A")</f>
        <v>N/A</v>
      </c>
      <c r="E786" s="303" t="str">
        <f ca="1">IFERROR(FDS(MO.Ticker.FactSet,"P_PRICE_AVG"&amp;"("&amp;INDEX(MO_SNA_FPStartDate,0,COLUMN())&amp;","&amp;INDEX(MO_Common_QEndDate,0,COLUMN())&amp;",,,,""PRICE"",""CLOSE"")"),"N/A")</f>
        <v>N/A</v>
      </c>
      <c r="F786" s="303" t="str">
        <f ca="1">IFERROR(FDS(MO.Ticker.FactSet,"P_PRICE_AVG"&amp;"("&amp;INDEX(MO_SNA_FPStartDate,0,COLUMN())&amp;","&amp;INDEX(MO_Common_QEndDate,0,COLUMN())&amp;",,,,""PRICE"",""CLOSE"")"),"N/A")</f>
        <v>N/A</v>
      </c>
      <c r="G786" s="303" t="str">
        <f ca="1">IFERROR(FDS(MO.Ticker.FactSet,"P_PRICE_AVG"&amp;"("&amp;INDEX(MO_SNA_FPStartDate,0,COLUMN())&amp;","&amp;INDEX(MO_Common_QEndDate,0,COLUMN())&amp;",,,,""PRICE"",""CLOSE"")"),"N/A")</f>
        <v>N/A</v>
      </c>
      <c r="H786" s="303" t="str">
        <f ca="1">IFERROR(FDS(MO.Ticker.FactSet,"P_PRICE_AVG"&amp;"("&amp;INDEX(MO_SNA_FPStartDate,0,COLUMN())&amp;","&amp;INDEX(MO_Common_QEndDate,0,COLUMN())&amp;",,,,""PRICE"",""CLOSE"")"),"N/A")</f>
        <v>N/A</v>
      </c>
      <c r="I786" s="303" t="str">
        <f ca="1">IFERROR(FDS(MO.Ticker.FactSet,"P_PRICE_AVG"&amp;"("&amp;INDEX(MO_SNA_FPStartDate,0,COLUMN())&amp;","&amp;INDEX(MO_Common_QEndDate,0,COLUMN())&amp;",,,,""PRICE"",""CLOSE"")"),"N/A")</f>
        <v>N/A</v>
      </c>
      <c r="J786" s="303" t="str">
        <f ca="1">IFERROR(FDS(MO.Ticker.FactSet,"P_PRICE_AVG"&amp;"("&amp;INDEX(MO_SNA_FPStartDate,0,COLUMN())&amp;","&amp;INDEX(MO_Common_QEndDate,0,COLUMN())&amp;",,,,""PRICE"",""CLOSE"")"),"N/A")</f>
        <v>N/A</v>
      </c>
      <c r="K786" s="303" t="str">
        <f ca="1">IFERROR(FDS(MO.Ticker.FactSet,"P_PRICE_AVG"&amp;"("&amp;INDEX(MO_SNA_FPStartDate,0,COLUMN())&amp;","&amp;INDEX(MO_Common_QEndDate,0,COLUMN())&amp;",,,,""PRICE"",""CLOSE"")"),"N/A")</f>
        <v>N/A</v>
      </c>
      <c r="L786" s="303" t="str">
        <f ca="1">IFERROR(FDS(MO.Ticker.FactSet,"P_PRICE_AVG"&amp;"("&amp;INDEX(MO_SNA_FPStartDate,0,COLUMN())&amp;","&amp;INDEX(MO_Common_QEndDate,0,COLUMN())&amp;",,,,""PRICE"",""CLOSE"")"),"N/A")</f>
        <v>N/A</v>
      </c>
      <c r="M786" s="303" t="str">
        <f ca="1">IFERROR(FDS(MO.Ticker.FactSet,"P_PRICE_AVG"&amp;"("&amp;INDEX(MO_SNA_FPStartDate,0,COLUMN())&amp;","&amp;INDEX(MO_Common_QEndDate,0,COLUMN())&amp;",,,,""PRICE"",""CLOSE"")"),"N/A")</f>
        <v>N/A</v>
      </c>
      <c r="N786" s="303" t="str">
        <f ca="1">IFERROR(FDS(MO.Ticker.FactSet,"P_PRICE_AVG"&amp;"("&amp;INDEX(MO_SNA_FPStartDate,0,COLUMN())&amp;","&amp;INDEX(MO_Common_QEndDate,0,COLUMN())&amp;",,,,""PRICE"",""CLOSE"")"),"N/A")</f>
        <v>N/A</v>
      </c>
      <c r="O786" s="303" t="str">
        <f ca="1">IFERROR(FDS(MO.Ticker.FactSet,"P_PRICE_AVG"&amp;"("&amp;INDEX(MO_SNA_FPStartDate,0,COLUMN())&amp;","&amp;INDEX(MO_Common_QEndDate,0,COLUMN())&amp;",,,,""PRICE"",""CLOSE"")"),"N/A")</f>
        <v>N/A</v>
      </c>
      <c r="P786" s="303" t="str">
        <f ca="1">IFERROR(FDS(MO.Ticker.FactSet,"P_PRICE_AVG"&amp;"("&amp;INDEX(MO_SNA_FPStartDate,0,COLUMN())&amp;","&amp;INDEX(MO_Common_QEndDate,0,COLUMN())&amp;",,,,""PRICE"",""CLOSE"")"),"N/A")</f>
        <v>N/A</v>
      </c>
      <c r="Q786" s="303" t="str">
        <f ca="1">IFERROR(FDS(MO.Ticker.FactSet,"P_PRICE_AVG"&amp;"("&amp;INDEX(MO_SNA_FPStartDate,0,COLUMN())&amp;","&amp;INDEX(MO_Common_QEndDate,0,COLUMN())&amp;",,,,""PRICE"",""CLOSE"")"),"N/A")</f>
        <v>N/A</v>
      </c>
      <c r="R786" s="303" t="str">
        <f ca="1">IFERROR(FDS(MO.Ticker.FactSet,"P_PRICE_AVG"&amp;"("&amp;INDEX(MO_SNA_FPStartDate,0,COLUMN())&amp;","&amp;INDEX(MO_Common_QEndDate,0,COLUMN())&amp;",,,,""PRICE"",""CLOSE"")"),"N/A")</f>
        <v>N/A</v>
      </c>
      <c r="S786" s="303" t="str">
        <f ca="1">IFERROR(FDS(MO.Ticker.FactSet,"P_PRICE_AVG"&amp;"("&amp;INDEX(MO_SNA_FPStartDate,0,COLUMN())&amp;","&amp;INDEX(MO_Common_QEndDate,0,COLUMN())&amp;",,,,""PRICE"",""CLOSE"")"),"N/A")</f>
        <v>N/A</v>
      </c>
      <c r="T786" s="303" t="str">
        <f ca="1">IFERROR(FDS(MO.Ticker.FactSet,"P_PRICE_AVG"&amp;"("&amp;INDEX(MO_SNA_FPStartDate,0,COLUMN())&amp;","&amp;INDEX(MO_Common_QEndDate,0,COLUMN())&amp;",,,,""PRICE"",""CLOSE"")"),"N/A")</f>
        <v>N/A</v>
      </c>
      <c r="U786" s="303" t="str">
        <f ca="1">IFERROR(FDS(MO.Ticker.FactSet,"P_PRICE_AVG"&amp;"("&amp;INDEX(MO_SNA_FPStartDate,0,COLUMN())&amp;","&amp;INDEX(MO_Common_QEndDate,0,COLUMN())&amp;",,,,""PRICE"",""CLOSE"")"),"N/A")</f>
        <v>N/A</v>
      </c>
      <c r="V786" s="303" t="str">
        <f ca="1">IFERROR(FDS(MO.Ticker.FactSet,"P_PRICE_AVG"&amp;"("&amp;INDEX(MO_SNA_FPStartDate,0,COLUMN())&amp;","&amp;INDEX(MO_Common_QEndDate,0,COLUMN())&amp;",,,,""PRICE"",""CLOSE"")"),"N/A")</f>
        <v>N/A</v>
      </c>
      <c r="W786" s="303" t="str">
        <f ca="1">IFERROR(FDS(MO.Ticker.FactSet,"P_PRICE_AVG"&amp;"("&amp;INDEX(MO_SNA_FPStartDate,0,COLUMN())&amp;","&amp;INDEX(MO_Common_QEndDate,0,COLUMN())&amp;",,,,""PRICE"",""CLOSE"")"),"N/A")</f>
        <v>N/A</v>
      </c>
      <c r="X786" s="303" t="str">
        <f ca="1">IFERROR(FDS(MO.Ticker.FactSet,"P_PRICE_AVG"&amp;"("&amp;INDEX(MO_SNA_FPStartDate,0,COLUMN())&amp;","&amp;INDEX(MO_Common_QEndDate,0,COLUMN())&amp;",,,,""PRICE"",""CLOSE"")"),"N/A")</f>
        <v>N/A</v>
      </c>
      <c r="Y786" s="303" t="str">
        <f ca="1">IFERROR(FDS(MO.Ticker.FactSet,"P_PRICE_AVG"&amp;"("&amp;INDEX(MO_SNA_FPStartDate,0,COLUMN())&amp;","&amp;INDEX(MO_Common_QEndDate,0,COLUMN())&amp;",,,,""PRICE"",""CLOSE"")"),"N/A")</f>
        <v>N/A</v>
      </c>
      <c r="Z786" s="303" t="str">
        <f ca="1">IFERROR(FDS(MO.Ticker.FactSet,"P_PRICE_AVG"&amp;"("&amp;INDEX(MO_SNA_FPStartDate,0,COLUMN())&amp;","&amp;INDEX(MO_Common_QEndDate,0,COLUMN())&amp;",,,,""PRICE"",""CLOSE"")"),"N/A")</f>
        <v>N/A</v>
      </c>
      <c r="AA786" s="303" t="str">
        <f ca="1">IFERROR(FDS(MO.Ticker.FactSet,"P_PRICE_AVG"&amp;"("&amp;INDEX(MO_SNA_FPStartDate,0,COLUMN())&amp;","&amp;INDEX(MO_Common_QEndDate,0,COLUMN())&amp;",,,,""PRICE"",""CLOSE"")"),"N/A")</f>
        <v>N/A</v>
      </c>
      <c r="AB786" s="303" t="str">
        <f ca="1">IFERROR(FDS(MO.Ticker.FactSet,"P_PRICE_AVG"&amp;"("&amp;INDEX(MO_SNA_FPStartDate,0,COLUMN())&amp;","&amp;INDEX(MO_Common_QEndDate,0,COLUMN())&amp;",,,,""PRICE"",""CLOSE"")"),"N/A")</f>
        <v>N/A</v>
      </c>
      <c r="AC786" s="303" t="str">
        <f ca="1">IFERROR(FDS(MO.Ticker.FactSet,"P_PRICE_AVG"&amp;"("&amp;INDEX(MO_SNA_FPStartDate,0,COLUMN())&amp;","&amp;INDEX(MO_Common_QEndDate,0,COLUMN())&amp;",,,,""PRICE"",""CLOSE"")"),"N/A")</f>
        <v>N/A</v>
      </c>
      <c r="AD786" s="303" t="str">
        <f ca="1">IFERROR(FDS(MO.Ticker.FactSet,"P_PRICE_AVG"&amp;"("&amp;INDEX(MO_SNA_FPStartDate,0,COLUMN())&amp;","&amp;INDEX(MO_Common_QEndDate,0,COLUMN())&amp;",,,,""PRICE"",""CLOSE"")"),"N/A")</f>
        <v>N/A</v>
      </c>
      <c r="AE786" s="303" t="str">
        <f ca="1">IFERROR(FDS(MO.Ticker.FactSet,"P_PRICE_AVG"&amp;"("&amp;INDEX(MO_SNA_FPStartDate,0,COLUMN())&amp;","&amp;INDEX(MO_Common_QEndDate,0,COLUMN())&amp;",,,,""PRICE"",""CLOSE"")"),"N/A")</f>
        <v>N/A</v>
      </c>
      <c r="AF786" s="303" t="str">
        <f ca="1">IFERROR(FDS(MO.Ticker.FactSet,"P_PRICE_AVG"&amp;"("&amp;INDEX(MO_SNA_FPStartDate,0,COLUMN())&amp;","&amp;INDEX(MO_Common_QEndDate,0,COLUMN())&amp;",,,,""PRICE"",""CLOSE"")"),"N/A")</f>
        <v>N/A</v>
      </c>
      <c r="AG786" s="303" t="str">
        <f ca="1">IFERROR(FDS(MO.Ticker.FactSet,"P_PRICE_AVG"&amp;"("&amp;INDEX(MO_SNA_FPStartDate,0,COLUMN())&amp;","&amp;INDEX(MO_Common_QEndDate,0,COLUMN())&amp;",,,,""PRICE"",""CLOSE"")"),"N/A")</f>
        <v>N/A</v>
      </c>
      <c r="AH786" s="303" t="str">
        <f ca="1">IFERROR(FDS(MO.Ticker.FactSet,"P_PRICE_AVG"&amp;"("&amp;INDEX(MO_SNA_FPStartDate,0,COLUMN())&amp;","&amp;INDEX(MO_Common_QEndDate,0,COLUMN())&amp;",,,,""PRICE"",""CLOSE"")"),"N/A")</f>
        <v>N/A</v>
      </c>
      <c r="AI786" s="303" t="str">
        <f ca="1">IFERROR(FDS(MO.Ticker.FactSet,"P_PRICE_AVG"&amp;"("&amp;INDEX(MO_SNA_FPStartDate,0,COLUMN())&amp;","&amp;INDEX(MO_Common_QEndDate,0,COLUMN())&amp;",,,,""PRICE"",""CLOSE"")"),"N/A")</f>
        <v>N/A</v>
      </c>
      <c r="AJ786" s="303" t="str">
        <f ca="1">IFERROR(FDS(MO.Ticker.FactSet,"P_PRICE_AVG"&amp;"("&amp;INDEX(MO_SNA_FPStartDate,0,COLUMN())&amp;","&amp;INDEX(MO_Common_QEndDate,0,COLUMN())&amp;",,,,""PRICE"",""CLOSE"")"),"N/A")</f>
        <v>N/A</v>
      </c>
      <c r="AK786" s="303" t="str">
        <f ca="1">IFERROR(FDS(MO.Ticker.FactSet,"P_PRICE_AVG"&amp;"("&amp;INDEX(MO_SNA_FPStartDate,0,COLUMN())&amp;","&amp;INDEX(MO_Common_QEndDate,0,COLUMN())&amp;",,,,""PRICE"",""CLOSE"")"),"N/A")</f>
        <v>N/A</v>
      </c>
      <c r="AL786" s="303" t="str">
        <f ca="1">IFERROR(FDS(MO.Ticker.FactSet,"P_PRICE_AVG"&amp;"("&amp;INDEX(MO_SNA_FPStartDate,0,COLUMN())&amp;","&amp;INDEX(MO_Common_QEndDate,0,COLUMN())&amp;",,,,""PRICE"",""CLOSE"")"),"N/A")</f>
        <v>N/A</v>
      </c>
      <c r="AM786" s="303" t="str">
        <f ca="1">IFERROR(FDS(MO.Ticker.FactSet,"P_PRICE_AVG"&amp;"("&amp;INDEX(MO_SNA_FPStartDate,0,COLUMN())&amp;","&amp;INDEX(MO_Common_QEndDate,0,COLUMN())&amp;",,,,""PRICE"",""CLOSE"")"),"N/A")</f>
        <v>N/A</v>
      </c>
      <c r="AN786" s="303" t="str">
        <f ca="1">IFERROR(FDS(MO.Ticker.FactSet,"P_PRICE_AVG"&amp;"("&amp;INDEX(MO_SNA_FPStartDate,0,COLUMN())&amp;","&amp;INDEX(MO_Common_QEndDate,0,COLUMN())&amp;",,,,""PRICE"",""CLOSE"")"),"N/A")</f>
        <v>N/A</v>
      </c>
      <c r="AO786" s="303" t="str">
        <f ca="1">IFERROR(FDS(MO.Ticker.FactSet,"P_PRICE_AVG"&amp;"("&amp;INDEX(MO_SNA_FPStartDate,0,COLUMN())&amp;","&amp;INDEX(MO_Common_QEndDate,0,COLUMN())&amp;",,,,""PRICE"",""CLOSE"")"),"N/A")</f>
        <v>N/A</v>
      </c>
      <c r="AP786" s="303" t="str">
        <f ca="1">IFERROR(FDS(MO.Ticker.FactSet,"P_PRICE_AVG"&amp;"("&amp;INDEX(MO_SNA_FPStartDate,0,COLUMN())&amp;","&amp;INDEX(MO_Common_QEndDate,0,COLUMN())&amp;",,,,""PRICE"",""CLOSE"")"),"N/A")</f>
        <v>N/A</v>
      </c>
      <c r="AQ786" s="303" t="str">
        <f ca="1">IFERROR(FDS(MO.Ticker.FactSet,"P_PRICE_AVG"&amp;"("&amp;INDEX(MO_SNA_FPStartDate,0,COLUMN())&amp;","&amp;INDEX(MO_Common_QEndDate,0,COLUMN())&amp;",,,,""PRICE"",""CLOSE"")"),"N/A")</f>
        <v>N/A</v>
      </c>
      <c r="AR786" s="303" t="str">
        <f ca="1">IFERROR(FDS(MO.Ticker.FactSet,"P_PRICE_AVG"&amp;"("&amp;INDEX(MO_SNA_FPStartDate,0,COLUMN())&amp;","&amp;INDEX(MO_Common_QEndDate,0,COLUMN())&amp;",,,,""PRICE"",""CLOSE"")"),"N/A")</f>
        <v>N/A</v>
      </c>
      <c r="AS786" s="303" t="str">
        <f ca="1">IFERROR(FDS(MO.Ticker.FactSet,"P_PRICE_AVG"&amp;"("&amp;INDEX(MO_SNA_FPStartDate,0,COLUMN())&amp;","&amp;INDEX(MO_Common_QEndDate,0,COLUMN())&amp;",,,,""PRICE"",""CLOSE"")"),"N/A")</f>
        <v>N/A</v>
      </c>
      <c r="AT786" s="303" t="str">
        <f ca="1">IFERROR(FDS(MO.Ticker.FactSet,"P_PRICE_AVG"&amp;"("&amp;INDEX(MO_SNA_FPStartDate,0,COLUMN())&amp;","&amp;INDEX(MO_Common_QEndDate,0,COLUMN())&amp;",,,,""PRICE"",""CLOSE"")"),"N/A")</f>
        <v>N/A</v>
      </c>
      <c r="AU786" s="303" t="str">
        <f ca="1">IFERROR(FDS(MO.Ticker.FactSet,"P_PRICE_AVG"&amp;"("&amp;INDEX(MO_SNA_FPStartDate,0,COLUMN())&amp;","&amp;INDEX(MO_Common_QEndDate,0,COLUMN())&amp;",,,,""PRICE"",""CLOSE"")"),"N/A")</f>
        <v>N/A</v>
      </c>
      <c r="AV786" s="303" t="str">
        <f ca="1">IFERROR(FDS(MO.Ticker.FactSet,"P_PRICE_AVG"&amp;"("&amp;INDEX(MO_SNA_FPStartDate,0,COLUMN())&amp;","&amp;INDEX(MO_Common_QEndDate,0,COLUMN())&amp;",,,,""PRICE"",""CLOSE"")"),"N/A")</f>
        <v>N/A</v>
      </c>
      <c r="AW786" s="604" t="str">
        <f ca="1">IFERROR(FDS(MO.Ticker.FactSet,"P_PRICE_AVG"&amp;"("&amp;INDEX(MO_SNA_FPStartDate,0,COLUMN())&amp;","&amp;INDEX(MO_Common_QEndDate,0,COLUMN())&amp;",,,,""PRICE"",""CLOSE"")"),"N/A")</f>
        <v>N/A</v>
      </c>
      <c r="AX786" s="303" t="str">
        <f ca="1">IFERROR(FDS(MO.Ticker.FactSet,"P_PRICE_AVG"&amp;"("&amp;INDEX(MO_SNA_FPStartDate,0,COLUMN())&amp;","&amp;INDEX(MO_Common_QEndDate,0,COLUMN())&amp;",,,,""PRICE"",""CLOSE"")"),"N/A")</f>
        <v>N/A</v>
      </c>
      <c r="AY786" s="303" t="str">
        <f ca="1">IFERROR(FDS(MO.Ticker.FactSet,"P_PRICE_AVG"&amp;"("&amp;INDEX(MO_SNA_FPStartDate,0,COLUMN())&amp;","&amp;INDEX(MO_Common_QEndDate,0,COLUMN())&amp;",,,,""PRICE"",""CLOSE"")"),"N/A")</f>
        <v>N/A</v>
      </c>
      <c r="AZ786" s="303" t="str">
        <f ca="1">IFERROR(FDS(MO.Ticker.FactSet,"P_PRICE_AVG"&amp;"("&amp;INDEX(MO_SNA_FPStartDate,0,COLUMN())&amp;","&amp;INDEX(MO_Common_QEndDate,0,COLUMN())&amp;",,,,""PRICE"",""CLOSE"")"),"N/A")</f>
        <v>N/A</v>
      </c>
      <c r="BA786" s="303" t="str">
        <f ca="1">IFERROR(FDS(MO.Ticker.FactSet,"P_PRICE_AVG"&amp;"("&amp;INDEX(MO_SNA_FPStartDate,0,COLUMN())&amp;","&amp;INDEX(MO_Common_QEndDate,0,COLUMN())&amp;",,,,""PRICE"",""CLOSE"")"),"N/A")</f>
        <v>N/A</v>
      </c>
      <c r="BB786" s="303" t="str">
        <f ca="1">IFERROR(FDS(MO.Ticker.FactSet,"P_PRICE_AVG"&amp;"("&amp;INDEX(MO_SNA_FPStartDate,0,COLUMN())&amp;","&amp;INDEX(MO_Common_QEndDate,0,COLUMN())&amp;",,,,""PRICE"",""CLOSE"")"),"N/A")</f>
        <v>N/A</v>
      </c>
      <c r="BC786" s="303" t="str">
        <f ca="1">IFERROR(FDS(MO.Ticker.FactSet,"P_PRICE_AVG"&amp;"("&amp;INDEX(MO_SNA_FPStartDate,0,COLUMN())&amp;","&amp;INDEX(MO_Common_QEndDate,0,COLUMN())&amp;",,,,""PRICE"",""CLOSE"")"),"N/A")</f>
        <v>N/A</v>
      </c>
      <c r="BD786" s="303" t="str">
        <f ca="1">IFERROR(FDS(MO.Ticker.FactSet,"P_PRICE_AVG"&amp;"("&amp;INDEX(MO_SNA_FPStartDate,0,COLUMN())&amp;","&amp;INDEX(MO_Common_QEndDate,0,COLUMN())&amp;",,,,""PRICE"",""CLOSE"")"),"N/A")</f>
        <v>N/A</v>
      </c>
      <c r="BE786" s="303" t="str">
        <f ca="1">IFERROR(FDS(MO.Ticker.FactSet,"P_PRICE_AVG"&amp;"("&amp;INDEX(MO_SNA_FPStartDate,0,COLUMN())&amp;","&amp;INDEX(MO_Common_QEndDate,0,COLUMN())&amp;",,,,""PRICE"",""CLOSE"")"),"N/A")</f>
        <v>N/A</v>
      </c>
      <c r="BF786" s="303" t="str">
        <f ca="1">IFERROR(FDS(MO.Ticker.FactSet,"P_PRICE_AVG"&amp;"("&amp;INDEX(MO_SNA_FPStartDate,0,COLUMN())&amp;","&amp;INDEX(MO_Common_QEndDate,0,COLUMN())&amp;",,,,""PRICE"",""CLOSE"")"),"N/A")</f>
        <v>N/A</v>
      </c>
      <c r="BG786" s="305" t="str">
        <f ca="1">IFERROR(FDS(MO.Ticker.FactSet,"P_PRICE_AVG"&amp;"("&amp;INDEX(MO_SNA_FPStartDate,0,COLUMN())&amp;","&amp;INDEX(MO_Common_QEndDate,0,COLUMN())&amp;",,,,""PRICE"",""CLOSE"")"),"N/A")</f>
        <v>N/A</v>
      </c>
      <c r="BH786" s="277"/>
    </row>
    <row r="787" spans="1:60" customFormat="1" hidden="1" outlineLevel="1" x14ac:dyDescent="0.25">
      <c r="A787" s="306" t="s">
        <v>569</v>
      </c>
      <c r="B787" s="303"/>
      <c r="C787" s="304" t="str">
        <f ca="1">IFERROR(_xll.TR(MO.Ticker.Thomson,"AVG(TR.Priceclose)","sdate:#1 edate:#2",,INDEX(MO_SNA_FPStartDate,0,COLUMN()),INDEX(MO_Common_QEndDate,0,COLUMN())),"N/A")</f>
        <v>N/A</v>
      </c>
      <c r="D787" s="304" t="str">
        <f ca="1">IFERROR(_xll.TR(MO.Ticker.Thomson,"AVG(TR.Priceclose)","sdate:#1 edate:#2",,INDEX(MO_SNA_FPStartDate,0,COLUMN()),INDEX(MO_Common_QEndDate,0,COLUMN())),"N/A")</f>
        <v>N/A</v>
      </c>
      <c r="E787" s="303" t="str">
        <f ca="1">IFERROR(_xll.TR(MO.Ticker.Thomson,"AVG(TR.Priceclose)","sdate:#1 edate:#2",,INDEX(MO_SNA_FPStartDate,0,COLUMN()),INDEX(MO_Common_QEndDate,0,COLUMN())),"N/A")</f>
        <v>N/A</v>
      </c>
      <c r="F787" s="303" t="str">
        <f ca="1">IFERROR(_xll.TR(MO.Ticker.Thomson,"AVG(TR.Priceclose)","sdate:#1 edate:#2",,INDEX(MO_SNA_FPStartDate,0,COLUMN()),INDEX(MO_Common_QEndDate,0,COLUMN())),"N/A")</f>
        <v>N/A</v>
      </c>
      <c r="G787" s="303" t="str">
        <f ca="1">IFERROR(_xll.TR(MO.Ticker.Thomson,"AVG(TR.Priceclose)","sdate:#1 edate:#2",,INDEX(MO_SNA_FPStartDate,0,COLUMN()),INDEX(MO_Common_QEndDate,0,COLUMN())),"N/A")</f>
        <v>N/A</v>
      </c>
      <c r="H787" s="303" t="str">
        <f ca="1">IFERROR(_xll.TR(MO.Ticker.Thomson,"AVG(TR.Priceclose)","sdate:#1 edate:#2",,INDEX(MO_SNA_FPStartDate,0,COLUMN()),INDEX(MO_Common_QEndDate,0,COLUMN())),"N/A")</f>
        <v>N/A</v>
      </c>
      <c r="I787" s="303" t="str">
        <f ca="1">IFERROR(_xll.TR(MO.Ticker.Thomson,"AVG(TR.Priceclose)","sdate:#1 edate:#2",,INDEX(MO_SNA_FPStartDate,0,COLUMN()),INDEX(MO_Common_QEndDate,0,COLUMN())),"N/A")</f>
        <v>N/A</v>
      </c>
      <c r="J787" s="303" t="str">
        <f ca="1">IFERROR(_xll.TR(MO.Ticker.Thomson,"AVG(TR.Priceclose)","sdate:#1 edate:#2",,INDEX(MO_SNA_FPStartDate,0,COLUMN()),INDEX(MO_Common_QEndDate,0,COLUMN())),"N/A")</f>
        <v>N/A</v>
      </c>
      <c r="K787" s="303" t="str">
        <f ca="1">IFERROR(_xll.TR(MO.Ticker.Thomson,"AVG(TR.Priceclose)","sdate:#1 edate:#2",,INDEX(MO_SNA_FPStartDate,0,COLUMN()),INDEX(MO_Common_QEndDate,0,COLUMN())),"N/A")</f>
        <v>N/A</v>
      </c>
      <c r="L787" s="303" t="str">
        <f ca="1">IFERROR(_xll.TR(MO.Ticker.Thomson,"AVG(TR.Priceclose)","sdate:#1 edate:#2",,INDEX(MO_SNA_FPStartDate,0,COLUMN()),INDEX(MO_Common_QEndDate,0,COLUMN())),"N/A")</f>
        <v>N/A</v>
      </c>
      <c r="M787" s="303" t="str">
        <f ca="1">IFERROR(_xll.TR(MO.Ticker.Thomson,"AVG(TR.Priceclose)","sdate:#1 edate:#2",,INDEX(MO_SNA_FPStartDate,0,COLUMN()),INDEX(MO_Common_QEndDate,0,COLUMN())),"N/A")</f>
        <v>N/A</v>
      </c>
      <c r="N787" s="303" t="str">
        <f ca="1">IFERROR(_xll.TR(MO.Ticker.Thomson,"AVG(TR.Priceclose)","sdate:#1 edate:#2",,INDEX(MO_SNA_FPStartDate,0,COLUMN()),INDEX(MO_Common_QEndDate,0,COLUMN())),"N/A")</f>
        <v>N/A</v>
      </c>
      <c r="O787" s="303" t="str">
        <f ca="1">IFERROR(_xll.TR(MO.Ticker.Thomson,"AVG(TR.Priceclose)","sdate:#1 edate:#2",,INDEX(MO_SNA_FPStartDate,0,COLUMN()),INDEX(MO_Common_QEndDate,0,COLUMN())),"N/A")</f>
        <v>N/A</v>
      </c>
      <c r="P787" s="303" t="str">
        <f ca="1">IFERROR(_xll.TR(MO.Ticker.Thomson,"AVG(TR.Priceclose)","sdate:#1 edate:#2",,INDEX(MO_SNA_FPStartDate,0,COLUMN()),INDEX(MO_Common_QEndDate,0,COLUMN())),"N/A")</f>
        <v>N/A</v>
      </c>
      <c r="Q787" s="303" t="str">
        <f ca="1">IFERROR(_xll.TR(MO.Ticker.Thomson,"AVG(TR.Priceclose)","sdate:#1 edate:#2",,INDEX(MO_SNA_FPStartDate,0,COLUMN()),INDEX(MO_Common_QEndDate,0,COLUMN())),"N/A")</f>
        <v>N/A</v>
      </c>
      <c r="R787" s="303" t="str">
        <f ca="1">IFERROR(_xll.TR(MO.Ticker.Thomson,"AVG(TR.Priceclose)","sdate:#1 edate:#2",,INDEX(MO_SNA_FPStartDate,0,COLUMN()),INDEX(MO_Common_QEndDate,0,COLUMN())),"N/A")</f>
        <v>N/A</v>
      </c>
      <c r="S787" s="303" t="str">
        <f ca="1">IFERROR(_xll.TR(MO.Ticker.Thomson,"AVG(TR.Priceclose)","sdate:#1 edate:#2",,INDEX(MO_SNA_FPStartDate,0,COLUMN()),INDEX(MO_Common_QEndDate,0,COLUMN())),"N/A")</f>
        <v>N/A</v>
      </c>
      <c r="T787" s="303" t="str">
        <f ca="1">IFERROR(_xll.TR(MO.Ticker.Thomson,"AVG(TR.Priceclose)","sdate:#1 edate:#2",,INDEX(MO_SNA_FPStartDate,0,COLUMN()),INDEX(MO_Common_QEndDate,0,COLUMN())),"N/A")</f>
        <v>N/A</v>
      </c>
      <c r="U787" s="303" t="str">
        <f ca="1">IFERROR(_xll.TR(MO.Ticker.Thomson,"AVG(TR.Priceclose)","sdate:#1 edate:#2",,INDEX(MO_SNA_FPStartDate,0,COLUMN()),INDEX(MO_Common_QEndDate,0,COLUMN())),"N/A")</f>
        <v>N/A</v>
      </c>
      <c r="V787" s="303" t="str">
        <f ca="1">IFERROR(_xll.TR(MO.Ticker.Thomson,"AVG(TR.Priceclose)","sdate:#1 edate:#2",,INDEX(MO_SNA_FPStartDate,0,COLUMN()),INDEX(MO_Common_QEndDate,0,COLUMN())),"N/A")</f>
        <v>N/A</v>
      </c>
      <c r="W787" s="303" t="str">
        <f ca="1">IFERROR(_xll.TR(MO.Ticker.Thomson,"AVG(TR.Priceclose)","sdate:#1 edate:#2",,INDEX(MO_SNA_FPStartDate,0,COLUMN()),INDEX(MO_Common_QEndDate,0,COLUMN())),"N/A")</f>
        <v>N/A</v>
      </c>
      <c r="X787" s="303" t="str">
        <f ca="1">IFERROR(_xll.TR(MO.Ticker.Thomson,"AVG(TR.Priceclose)","sdate:#1 edate:#2",,INDEX(MO_SNA_FPStartDate,0,COLUMN()),INDEX(MO_Common_QEndDate,0,COLUMN())),"N/A")</f>
        <v>N/A</v>
      </c>
      <c r="Y787" s="303" t="str">
        <f ca="1">IFERROR(_xll.TR(MO.Ticker.Thomson,"AVG(TR.Priceclose)","sdate:#1 edate:#2",,INDEX(MO_SNA_FPStartDate,0,COLUMN()),INDEX(MO_Common_QEndDate,0,COLUMN())),"N/A")</f>
        <v>N/A</v>
      </c>
      <c r="Z787" s="303" t="str">
        <f ca="1">IFERROR(_xll.TR(MO.Ticker.Thomson,"AVG(TR.Priceclose)","sdate:#1 edate:#2",,INDEX(MO_SNA_FPStartDate,0,COLUMN()),INDEX(MO_Common_QEndDate,0,COLUMN())),"N/A")</f>
        <v>N/A</v>
      </c>
      <c r="AA787" s="303" t="str">
        <f ca="1">IFERROR(_xll.TR(MO.Ticker.Thomson,"AVG(TR.Priceclose)","sdate:#1 edate:#2",,INDEX(MO_SNA_FPStartDate,0,COLUMN()),INDEX(MO_Common_QEndDate,0,COLUMN())),"N/A")</f>
        <v>N/A</v>
      </c>
      <c r="AB787" s="303" t="str">
        <f ca="1">IFERROR(_xll.TR(MO.Ticker.Thomson,"AVG(TR.Priceclose)","sdate:#1 edate:#2",,INDEX(MO_SNA_FPStartDate,0,COLUMN()),INDEX(MO_Common_QEndDate,0,COLUMN())),"N/A")</f>
        <v>N/A</v>
      </c>
      <c r="AC787" s="303" t="str">
        <f ca="1">IFERROR(_xll.TR(MO.Ticker.Thomson,"AVG(TR.Priceclose)","sdate:#1 edate:#2",,INDEX(MO_SNA_FPStartDate,0,COLUMN()),INDEX(MO_Common_QEndDate,0,COLUMN())),"N/A")</f>
        <v>N/A</v>
      </c>
      <c r="AD787" s="303" t="str">
        <f ca="1">IFERROR(_xll.TR(MO.Ticker.Thomson,"AVG(TR.Priceclose)","sdate:#1 edate:#2",,INDEX(MO_SNA_FPStartDate,0,COLUMN()),INDEX(MO_Common_QEndDate,0,COLUMN())),"N/A")</f>
        <v>N/A</v>
      </c>
      <c r="AE787" s="303" t="str">
        <f ca="1">IFERROR(_xll.TR(MO.Ticker.Thomson,"AVG(TR.Priceclose)","sdate:#1 edate:#2",,INDEX(MO_SNA_FPStartDate,0,COLUMN()),INDEX(MO_Common_QEndDate,0,COLUMN())),"N/A")</f>
        <v>N/A</v>
      </c>
      <c r="AF787" s="303" t="str">
        <f ca="1">IFERROR(_xll.TR(MO.Ticker.Thomson,"AVG(TR.Priceclose)","sdate:#1 edate:#2",,INDEX(MO_SNA_FPStartDate,0,COLUMN()),INDEX(MO_Common_QEndDate,0,COLUMN())),"N/A")</f>
        <v>N/A</v>
      </c>
      <c r="AG787" s="303" t="str">
        <f ca="1">IFERROR(_xll.TR(MO.Ticker.Thomson,"AVG(TR.Priceclose)","sdate:#1 edate:#2",,INDEX(MO_SNA_FPStartDate,0,COLUMN()),INDEX(MO_Common_QEndDate,0,COLUMN())),"N/A")</f>
        <v>N/A</v>
      </c>
      <c r="AH787" s="303" t="str">
        <f ca="1">IFERROR(_xll.TR(MO.Ticker.Thomson,"AVG(TR.Priceclose)","sdate:#1 edate:#2",,INDEX(MO_SNA_FPStartDate,0,COLUMN()),INDEX(MO_Common_QEndDate,0,COLUMN())),"N/A")</f>
        <v>N/A</v>
      </c>
      <c r="AI787" s="303" t="str">
        <f ca="1">IFERROR(_xll.TR(MO.Ticker.Thomson,"AVG(TR.Priceclose)","sdate:#1 edate:#2",,INDEX(MO_SNA_FPStartDate,0,COLUMN()),INDEX(MO_Common_QEndDate,0,COLUMN())),"N/A")</f>
        <v>N/A</v>
      </c>
      <c r="AJ787" s="303" t="str">
        <f ca="1">IFERROR(_xll.TR(MO.Ticker.Thomson,"AVG(TR.Priceclose)","sdate:#1 edate:#2",,INDEX(MO_SNA_FPStartDate,0,COLUMN()),INDEX(MO_Common_QEndDate,0,COLUMN())),"N/A")</f>
        <v>N/A</v>
      </c>
      <c r="AK787" s="303" t="str">
        <f ca="1">IFERROR(_xll.TR(MO.Ticker.Thomson,"AVG(TR.Priceclose)","sdate:#1 edate:#2",,INDEX(MO_SNA_FPStartDate,0,COLUMN()),INDEX(MO_Common_QEndDate,0,COLUMN())),"N/A")</f>
        <v>N/A</v>
      </c>
      <c r="AL787" s="303" t="str">
        <f ca="1">IFERROR(_xll.TR(MO.Ticker.Thomson,"AVG(TR.Priceclose)","sdate:#1 edate:#2",,INDEX(MO_SNA_FPStartDate,0,COLUMN()),INDEX(MO_Common_QEndDate,0,COLUMN())),"N/A")</f>
        <v>N/A</v>
      </c>
      <c r="AM787" s="303" t="str">
        <f ca="1">IFERROR(_xll.TR(MO.Ticker.Thomson,"AVG(TR.Priceclose)","sdate:#1 edate:#2",,INDEX(MO_SNA_FPStartDate,0,COLUMN()),INDEX(MO_Common_QEndDate,0,COLUMN())),"N/A")</f>
        <v>N/A</v>
      </c>
      <c r="AN787" s="303" t="str">
        <f ca="1">IFERROR(_xll.TR(MO.Ticker.Thomson,"AVG(TR.Priceclose)","sdate:#1 edate:#2",,INDEX(MO_SNA_FPStartDate,0,COLUMN()),INDEX(MO_Common_QEndDate,0,COLUMN())),"N/A")</f>
        <v>N/A</v>
      </c>
      <c r="AO787" s="303" t="str">
        <f ca="1">IFERROR(_xll.TR(MO.Ticker.Thomson,"AVG(TR.Priceclose)","sdate:#1 edate:#2",,INDEX(MO_SNA_FPStartDate,0,COLUMN()),INDEX(MO_Common_QEndDate,0,COLUMN())),"N/A")</f>
        <v>N/A</v>
      </c>
      <c r="AP787" s="303" t="str">
        <f ca="1">IFERROR(_xll.TR(MO.Ticker.Thomson,"AVG(TR.Priceclose)","sdate:#1 edate:#2",,INDEX(MO_SNA_FPStartDate,0,COLUMN()),INDEX(MO_Common_QEndDate,0,COLUMN())),"N/A")</f>
        <v>N/A</v>
      </c>
      <c r="AQ787" s="303" t="str">
        <f ca="1">IFERROR(_xll.TR(MO.Ticker.Thomson,"AVG(TR.Priceclose)","sdate:#1 edate:#2",,INDEX(MO_SNA_FPStartDate,0,COLUMN()),INDEX(MO_Common_QEndDate,0,COLUMN())),"N/A")</f>
        <v>N/A</v>
      </c>
      <c r="AR787" s="303" t="str">
        <f ca="1">IFERROR(_xll.TR(MO.Ticker.Thomson,"AVG(TR.Priceclose)","sdate:#1 edate:#2",,INDEX(MO_SNA_FPStartDate,0,COLUMN()),INDEX(MO_Common_QEndDate,0,COLUMN())),"N/A")</f>
        <v>N/A</v>
      </c>
      <c r="AS787" s="303" t="str">
        <f ca="1">IFERROR(_xll.TR(MO.Ticker.Thomson,"AVG(TR.Priceclose)","sdate:#1 edate:#2",,INDEX(MO_SNA_FPStartDate,0,COLUMN()),INDEX(MO_Common_QEndDate,0,COLUMN())),"N/A")</f>
        <v>N/A</v>
      </c>
      <c r="AT787" s="303" t="str">
        <f ca="1">IFERROR(_xll.TR(MO.Ticker.Thomson,"AVG(TR.Priceclose)","sdate:#1 edate:#2",,INDEX(MO_SNA_FPStartDate,0,COLUMN()),INDEX(MO_Common_QEndDate,0,COLUMN())),"N/A")</f>
        <v>N/A</v>
      </c>
      <c r="AU787" s="303" t="str">
        <f ca="1">IFERROR(_xll.TR(MO.Ticker.Thomson,"AVG(TR.Priceclose)","sdate:#1 edate:#2",,INDEX(MO_SNA_FPStartDate,0,COLUMN()),INDEX(MO_Common_QEndDate,0,COLUMN())),"N/A")</f>
        <v>N/A</v>
      </c>
      <c r="AV787" s="303" t="str">
        <f ca="1">IFERROR(_xll.TR(MO.Ticker.Thomson,"AVG(TR.Priceclose)","sdate:#1 edate:#2",,INDEX(MO_SNA_FPStartDate,0,COLUMN()),INDEX(MO_Common_QEndDate,0,COLUMN())),"N/A")</f>
        <v>N/A</v>
      </c>
      <c r="AW787" s="604" t="str">
        <f ca="1">IFERROR(_xll.TR(MO.Ticker.Thomson,"AVG(TR.Priceclose)","sdate:#1 edate:#2",,INDEX(MO_SNA_FPStartDate,0,COLUMN()),INDEX(MO_Common_QEndDate,0,COLUMN())),"N/A")</f>
        <v>N/A</v>
      </c>
      <c r="AX787" s="303" t="str">
        <f ca="1">IFERROR(_xll.TR(MO.Ticker.Thomson,"AVG(TR.Priceclose)","sdate:#1 edate:#2",,INDEX(MO_SNA_FPStartDate,0,COLUMN()),INDEX(MO_Common_QEndDate,0,COLUMN())),"N/A")</f>
        <v>N/A</v>
      </c>
      <c r="AY787" s="303" t="str">
        <f ca="1">IFERROR(_xll.TR(MO.Ticker.Thomson,"AVG(TR.Priceclose)","sdate:#1 edate:#2",,INDEX(MO_SNA_FPStartDate,0,COLUMN()),INDEX(MO_Common_QEndDate,0,COLUMN())),"N/A")</f>
        <v>N/A</v>
      </c>
      <c r="AZ787" s="303" t="str">
        <f ca="1">IFERROR(_xll.TR(MO.Ticker.Thomson,"AVG(TR.Priceclose)","sdate:#1 edate:#2",,INDEX(MO_SNA_FPStartDate,0,COLUMN()),INDEX(MO_Common_QEndDate,0,COLUMN())),"N/A")</f>
        <v>N/A</v>
      </c>
      <c r="BA787" s="303" t="str">
        <f ca="1">IFERROR(_xll.TR(MO.Ticker.Thomson,"AVG(TR.Priceclose)","sdate:#1 edate:#2",,INDEX(MO_SNA_FPStartDate,0,COLUMN()),INDEX(MO_Common_QEndDate,0,COLUMN())),"N/A")</f>
        <v>N/A</v>
      </c>
      <c r="BB787" s="303" t="str">
        <f ca="1">IFERROR(_xll.TR(MO.Ticker.Thomson,"AVG(TR.Priceclose)","sdate:#1 edate:#2",,INDEX(MO_SNA_FPStartDate,0,COLUMN()),INDEX(MO_Common_QEndDate,0,COLUMN())),"N/A")</f>
        <v>N/A</v>
      </c>
      <c r="BC787" s="303" t="str">
        <f ca="1">IFERROR(_xll.TR(MO.Ticker.Thomson,"AVG(TR.Priceclose)","sdate:#1 edate:#2",,INDEX(MO_SNA_FPStartDate,0,COLUMN()),INDEX(MO_Common_QEndDate,0,COLUMN())),"N/A")</f>
        <v>N/A</v>
      </c>
      <c r="BD787" s="303" t="str">
        <f ca="1">IFERROR(_xll.TR(MO.Ticker.Thomson,"AVG(TR.Priceclose)","sdate:#1 edate:#2",,INDEX(MO_SNA_FPStartDate,0,COLUMN()),INDEX(MO_Common_QEndDate,0,COLUMN())),"N/A")</f>
        <v>N/A</v>
      </c>
      <c r="BE787" s="303" t="str">
        <f ca="1">IFERROR(_xll.TR(MO.Ticker.Thomson,"AVG(TR.Priceclose)","sdate:#1 edate:#2",,INDEX(MO_SNA_FPStartDate,0,COLUMN()),INDEX(MO_Common_QEndDate,0,COLUMN())),"N/A")</f>
        <v>N/A</v>
      </c>
      <c r="BF787" s="303" t="str">
        <f ca="1">IFERROR(_xll.TR(MO.Ticker.Thomson,"AVG(TR.Priceclose)","sdate:#1 edate:#2",,INDEX(MO_SNA_FPStartDate,0,COLUMN()),INDEX(MO_Common_QEndDate,0,COLUMN())),"N/A")</f>
        <v>N/A</v>
      </c>
      <c r="BG787" s="305" t="str">
        <f ca="1">IFERROR(_xll.TR(MO.Ticker.Thomson,"AVG(TR.Priceclose)","sdate:#1 edate:#2",,INDEX(MO_SNA_FPStartDate,0,COLUMN()),INDEX(MO_Common_QEndDate,0,COLUMN())),"N/A")</f>
        <v>N/A</v>
      </c>
      <c r="BH787" s="277"/>
    </row>
    <row r="788" spans="1:60" customFormat="1" hidden="1" outlineLevel="1" x14ac:dyDescent="0.25">
      <c r="A788" s="235"/>
      <c r="B788" s="822"/>
      <c r="C788" s="169"/>
      <c r="D788" s="169"/>
      <c r="E788" s="822"/>
      <c r="F788" s="822"/>
      <c r="G788" s="822"/>
      <c r="H788" s="822"/>
      <c r="I788" s="822"/>
      <c r="J788" s="822"/>
      <c r="K788" s="822"/>
      <c r="L788" s="822"/>
      <c r="M788" s="822"/>
      <c r="N788" s="822"/>
      <c r="O788" s="822"/>
      <c r="P788" s="822"/>
      <c r="Q788" s="822"/>
      <c r="R788" s="822"/>
      <c r="S788" s="822"/>
      <c r="T788" s="822"/>
      <c r="U788" s="822"/>
      <c r="V788" s="822"/>
      <c r="W788" s="822"/>
      <c r="X788" s="822"/>
      <c r="Y788" s="822"/>
      <c r="Z788" s="822"/>
      <c r="AA788" s="822"/>
      <c r="AB788" s="822"/>
      <c r="AC788" s="822"/>
      <c r="AD788" s="822"/>
      <c r="AE788" s="822"/>
      <c r="AF788" s="822"/>
      <c r="AG788" s="822"/>
      <c r="AH788" s="822"/>
      <c r="AI788" s="822"/>
      <c r="AJ788" s="822"/>
      <c r="AK788" s="822"/>
      <c r="AL788" s="822"/>
      <c r="AM788" s="822"/>
      <c r="AN788" s="822"/>
      <c r="AO788" s="822"/>
      <c r="AP788" s="822"/>
      <c r="AQ788" s="822"/>
      <c r="AR788" s="822"/>
      <c r="AS788" s="822"/>
      <c r="AT788" s="822"/>
      <c r="AU788" s="822"/>
      <c r="AV788" s="822"/>
      <c r="AW788" s="823"/>
      <c r="AX788" s="822"/>
      <c r="AY788" s="822"/>
      <c r="AZ788" s="822"/>
      <c r="BA788" s="822"/>
      <c r="BB788" s="822"/>
      <c r="BC788" s="822"/>
      <c r="BD788" s="822"/>
      <c r="BE788" s="822"/>
      <c r="BF788" s="822"/>
      <c r="BG788" s="233"/>
      <c r="BH788" s="821"/>
    </row>
    <row r="789" spans="1:60" customFormat="1" collapsed="1" x14ac:dyDescent="0.25">
      <c r="A789" s="307" t="str">
        <f ca="1">"FX Average: "&amp;IF(OR(MO.RealTimeStockPriceToggle=FALSE,VLOOKUP(MO.DataSourceName,MO_SPT_FXAverage_Sources,COLUMN()+2,FALSE)="N/A"),"Real-Time Off Source",MO.DataSourceName)</f>
        <v>FX Average: Real-Time Off Source</v>
      </c>
      <c r="B789" s="453"/>
      <c r="C789" s="452">
        <f t="shared" ref="C789:AH789" ca="1" si="761">IF(OR(MO.RealTimeStockPriceToggle=FALSE,EXACT(HP.TradeCurrency,MO.ReportCurrency),VLOOKUP(MO.DataSourceName,MO_SPT_FXAverage_Sources,COLUMN(),FALSE)="N/A"),VLOOKUP("Real-Time Off Source",MO_SPT_FXAverage_Sources,COLUMN(),FALSE),VLOOKUP(MO.DataSourceName,MO_SPT_FXAverage_Sources,COLUMN(),FALSE))</f>
        <v>0</v>
      </c>
      <c r="D789" s="452">
        <f t="shared" ca="1" si="761"/>
        <v>0</v>
      </c>
      <c r="E789" s="453">
        <f t="shared" ca="1" si="761"/>
        <v>0</v>
      </c>
      <c r="F789" s="453">
        <f t="shared" ca="1" si="761"/>
        <v>0</v>
      </c>
      <c r="G789" s="453">
        <f t="shared" ca="1" si="761"/>
        <v>0</v>
      </c>
      <c r="H789" s="453">
        <f t="shared" ca="1" si="761"/>
        <v>0</v>
      </c>
      <c r="I789" s="453">
        <f t="shared" ca="1" si="761"/>
        <v>0</v>
      </c>
      <c r="J789" s="453">
        <f t="shared" ca="1" si="761"/>
        <v>0</v>
      </c>
      <c r="K789" s="453">
        <f t="shared" ca="1" si="761"/>
        <v>0</v>
      </c>
      <c r="L789" s="453">
        <f t="shared" ca="1" si="761"/>
        <v>0</v>
      </c>
      <c r="M789" s="453">
        <f t="shared" ca="1" si="761"/>
        <v>0</v>
      </c>
      <c r="N789" s="453">
        <f t="shared" ca="1" si="761"/>
        <v>0</v>
      </c>
      <c r="O789" s="453">
        <f t="shared" ca="1" si="761"/>
        <v>0</v>
      </c>
      <c r="P789" s="453">
        <f t="shared" ca="1" si="761"/>
        <v>0</v>
      </c>
      <c r="Q789" s="453">
        <f t="shared" ca="1" si="761"/>
        <v>0</v>
      </c>
      <c r="R789" s="453">
        <f t="shared" ca="1" si="761"/>
        <v>0</v>
      </c>
      <c r="S789" s="453">
        <f t="shared" ca="1" si="761"/>
        <v>0</v>
      </c>
      <c r="T789" s="453">
        <f t="shared" ca="1" si="761"/>
        <v>0</v>
      </c>
      <c r="U789" s="453">
        <f t="shared" ca="1" si="761"/>
        <v>0</v>
      </c>
      <c r="V789" s="453">
        <f t="shared" ca="1" si="761"/>
        <v>0</v>
      </c>
      <c r="W789" s="453">
        <f t="shared" ca="1" si="761"/>
        <v>0</v>
      </c>
      <c r="X789" s="453">
        <f t="shared" ca="1" si="761"/>
        <v>0</v>
      </c>
      <c r="Y789" s="453">
        <f t="shared" ca="1" si="761"/>
        <v>0</v>
      </c>
      <c r="Z789" s="453">
        <f t="shared" ca="1" si="761"/>
        <v>0</v>
      </c>
      <c r="AA789" s="453">
        <f t="shared" ca="1" si="761"/>
        <v>0</v>
      </c>
      <c r="AB789" s="453">
        <f t="shared" ca="1" si="761"/>
        <v>0</v>
      </c>
      <c r="AC789" s="453">
        <f t="shared" ca="1" si="761"/>
        <v>0</v>
      </c>
      <c r="AD789" s="453">
        <f t="shared" ca="1" si="761"/>
        <v>0</v>
      </c>
      <c r="AE789" s="453">
        <f t="shared" ca="1" si="761"/>
        <v>0</v>
      </c>
      <c r="AF789" s="453">
        <f t="shared" ca="1" si="761"/>
        <v>0</v>
      </c>
      <c r="AG789" s="453">
        <f t="shared" ca="1" si="761"/>
        <v>0</v>
      </c>
      <c r="AH789" s="453">
        <f t="shared" ca="1" si="761"/>
        <v>0</v>
      </c>
      <c r="AI789" s="453">
        <f t="shared" ref="AI789:BG789" ca="1" si="762">IF(OR(MO.RealTimeStockPriceToggle=FALSE,EXACT(HP.TradeCurrency,MO.ReportCurrency),VLOOKUP(MO.DataSourceName,MO_SPT_FXAverage_Sources,COLUMN(),FALSE)="N/A"),VLOOKUP("Real-Time Off Source",MO_SPT_FXAverage_Sources,COLUMN(),FALSE),VLOOKUP(MO.DataSourceName,MO_SPT_FXAverage_Sources,COLUMN(),FALSE))</f>
        <v>0</v>
      </c>
      <c r="AJ789" s="453">
        <f t="shared" ca="1" si="762"/>
        <v>0</v>
      </c>
      <c r="AK789" s="453">
        <f t="shared" ca="1" si="762"/>
        <v>0</v>
      </c>
      <c r="AL789" s="453">
        <f t="shared" ca="1" si="762"/>
        <v>0</v>
      </c>
      <c r="AM789" s="453">
        <f t="shared" ca="1" si="762"/>
        <v>0</v>
      </c>
      <c r="AN789" s="453">
        <f t="shared" ca="1" si="762"/>
        <v>0</v>
      </c>
      <c r="AO789" s="453">
        <f t="shared" ca="1" si="762"/>
        <v>0</v>
      </c>
      <c r="AP789" s="453">
        <f t="shared" ca="1" si="762"/>
        <v>0</v>
      </c>
      <c r="AQ789" s="453">
        <f t="shared" ca="1" si="762"/>
        <v>0</v>
      </c>
      <c r="AR789" s="453">
        <f t="shared" ca="1" si="762"/>
        <v>0</v>
      </c>
      <c r="AS789" s="453">
        <f t="shared" ca="1" si="762"/>
        <v>0</v>
      </c>
      <c r="AT789" s="453">
        <f t="shared" ca="1" si="762"/>
        <v>0</v>
      </c>
      <c r="AU789" s="453">
        <f t="shared" ca="1" si="762"/>
        <v>0</v>
      </c>
      <c r="AV789" s="453">
        <f t="shared" ca="1" si="762"/>
        <v>0</v>
      </c>
      <c r="AW789" s="605">
        <f t="shared" ca="1" si="762"/>
        <v>0</v>
      </c>
      <c r="AX789" s="453">
        <f t="shared" ca="1" si="762"/>
        <v>1</v>
      </c>
      <c r="AY789" s="453">
        <f t="shared" ca="1" si="762"/>
        <v>1</v>
      </c>
      <c r="AZ789" s="453">
        <f t="shared" ca="1" si="762"/>
        <v>1</v>
      </c>
      <c r="BA789" s="453">
        <f t="shared" ca="1" si="762"/>
        <v>1</v>
      </c>
      <c r="BB789" s="453">
        <f t="shared" ca="1" si="762"/>
        <v>1</v>
      </c>
      <c r="BC789" s="453">
        <f t="shared" ca="1" si="762"/>
        <v>1</v>
      </c>
      <c r="BD789" s="453">
        <f t="shared" ca="1" si="762"/>
        <v>1</v>
      </c>
      <c r="BE789" s="453">
        <f t="shared" ca="1" si="762"/>
        <v>1</v>
      </c>
      <c r="BF789" s="453">
        <f t="shared" ca="1" si="762"/>
        <v>1</v>
      </c>
      <c r="BG789" s="454">
        <f t="shared" ca="1" si="762"/>
        <v>1</v>
      </c>
      <c r="BH789" s="308"/>
    </row>
    <row r="790" spans="1:60" customFormat="1" hidden="1" outlineLevel="1" x14ac:dyDescent="0.25">
      <c r="A790" s="309" t="s">
        <v>262</v>
      </c>
      <c r="B790" s="453"/>
      <c r="C790" s="452"/>
      <c r="D790" s="452"/>
      <c r="E790" s="453"/>
      <c r="F790" s="453"/>
      <c r="G790" s="453"/>
      <c r="H790" s="453"/>
      <c r="I790" s="453"/>
      <c r="J790" s="453"/>
      <c r="K790" s="453"/>
      <c r="L790" s="453"/>
      <c r="M790" s="453"/>
      <c r="N790" s="453"/>
      <c r="O790" s="453"/>
      <c r="P790" s="453"/>
      <c r="Q790" s="453"/>
      <c r="R790" s="453"/>
      <c r="S790" s="453"/>
      <c r="T790" s="453"/>
      <c r="U790" s="453"/>
      <c r="V790" s="453"/>
      <c r="W790" s="453"/>
      <c r="X790" s="453"/>
      <c r="Y790" s="453"/>
      <c r="Z790" s="453"/>
      <c r="AA790" s="453"/>
      <c r="AB790" s="453"/>
      <c r="AC790" s="453"/>
      <c r="AD790" s="453"/>
      <c r="AE790" s="453"/>
      <c r="AF790" s="453"/>
      <c r="AG790" s="453"/>
      <c r="AH790" s="453"/>
      <c r="AI790" s="453"/>
      <c r="AJ790" s="453"/>
      <c r="AK790" s="453"/>
      <c r="AL790" s="453"/>
      <c r="AM790" s="453"/>
      <c r="AN790" s="453"/>
      <c r="AO790" s="453"/>
      <c r="AP790" s="453"/>
      <c r="AQ790" s="453"/>
      <c r="AR790" s="453"/>
      <c r="AS790" s="453"/>
      <c r="AT790" s="453"/>
      <c r="AU790" s="453"/>
      <c r="AV790" s="453"/>
      <c r="AW790" s="605"/>
      <c r="AX790" s="453">
        <f t="shared" ref="AX790:BG790" si="763">MO.MRFX.Hardcoded</f>
        <v>1</v>
      </c>
      <c r="AY790" s="453">
        <f t="shared" si="763"/>
        <v>1</v>
      </c>
      <c r="AZ790" s="453">
        <f t="shared" si="763"/>
        <v>1</v>
      </c>
      <c r="BA790" s="453">
        <f t="shared" si="763"/>
        <v>1</v>
      </c>
      <c r="BB790" s="453">
        <f t="shared" si="763"/>
        <v>1</v>
      </c>
      <c r="BC790" s="453">
        <f t="shared" si="763"/>
        <v>1</v>
      </c>
      <c r="BD790" s="453">
        <f t="shared" si="763"/>
        <v>1</v>
      </c>
      <c r="BE790" s="453">
        <f t="shared" si="763"/>
        <v>1</v>
      </c>
      <c r="BF790" s="453">
        <f t="shared" si="763"/>
        <v>1</v>
      </c>
      <c r="BG790" s="454">
        <f t="shared" si="763"/>
        <v>1</v>
      </c>
      <c r="BH790" s="308"/>
    </row>
    <row r="791" spans="1:60" customFormat="1" hidden="1" outlineLevel="1" x14ac:dyDescent="0.25">
      <c r="A791" s="309" t="s">
        <v>7</v>
      </c>
      <c r="B791" s="453"/>
      <c r="C791" s="45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D791" s="45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E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F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G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H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I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J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K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L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M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N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O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P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Q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R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S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T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U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V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W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X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Y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Z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A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B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C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D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E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F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G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H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I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J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K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L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M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N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O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P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Q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R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S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T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U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V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W791" s="60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X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Y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Z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A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B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C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D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E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F791" s="45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G791" s="45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H791" s="308"/>
    </row>
    <row r="792" spans="1:60" customFormat="1" hidden="1" outlineLevel="1" x14ac:dyDescent="0.25">
      <c r="A792" s="309" t="s">
        <v>263</v>
      </c>
      <c r="B792" s="453"/>
      <c r="C792" s="452" t="str">
        <f ca="1">IFERROR(IF(INDEX(MO_Common_QEndDate,0,COLUMN())&gt;TODAY(),CIQ("$"&amp;HP.TradeCurrency&amp;MO.ReportCurrency,"IQ_LASTSALEPRICE"),CIQAVG("$"&amp;HP.TradeCurrency&amp;MO.ReportCurrency,"IQ_LASTSALEPRICE",INDEX(MO_SNA_FPStartDate,0,COLUMN()),INDEX(MO_Common_QEndDate,0,COLUMN()))),"N/A")</f>
        <v>N/A</v>
      </c>
      <c r="D792" s="452" t="str">
        <f ca="1">IFERROR(IF(INDEX(MO_Common_QEndDate,0,COLUMN())&gt;TODAY(),CIQ("$"&amp;HP.TradeCurrency&amp;MO.ReportCurrency,"IQ_LASTSALEPRICE"),CIQAVG("$"&amp;HP.TradeCurrency&amp;MO.ReportCurrency,"IQ_LASTSALEPRICE",INDEX(MO_SNA_FPStartDate,0,COLUMN()),INDEX(MO_Common_QEndDate,0,COLUMN()))),"N/A")</f>
        <v>N/A</v>
      </c>
      <c r="E792" s="453" t="str">
        <f ca="1">IFERROR(IF(INDEX(MO_Common_QEndDate,0,COLUMN())&gt;TODAY(),CIQ("$"&amp;HP.TradeCurrency&amp;MO.ReportCurrency,"IQ_LASTSALEPRICE"),CIQAVG("$"&amp;HP.TradeCurrency&amp;MO.ReportCurrency,"IQ_LASTSALEPRICE",INDEX(MO_SNA_FPStartDate,0,COLUMN()),INDEX(MO_Common_QEndDate,0,COLUMN()))),"N/A")</f>
        <v>N/A</v>
      </c>
      <c r="F792" s="453" t="str">
        <f ca="1">IFERROR(IF(INDEX(MO_Common_QEndDate,0,COLUMN())&gt;TODAY(),CIQ("$"&amp;HP.TradeCurrency&amp;MO.ReportCurrency,"IQ_LASTSALEPRICE"),CIQAVG("$"&amp;HP.TradeCurrency&amp;MO.ReportCurrency,"IQ_LASTSALEPRICE",INDEX(MO_SNA_FPStartDate,0,COLUMN()),INDEX(MO_Common_QEndDate,0,COLUMN()))),"N/A")</f>
        <v>N/A</v>
      </c>
      <c r="G792" s="453" t="str">
        <f ca="1">IFERROR(IF(INDEX(MO_Common_QEndDate,0,COLUMN())&gt;TODAY(),CIQ("$"&amp;HP.TradeCurrency&amp;MO.ReportCurrency,"IQ_LASTSALEPRICE"),CIQAVG("$"&amp;HP.TradeCurrency&amp;MO.ReportCurrency,"IQ_LASTSALEPRICE",INDEX(MO_SNA_FPStartDate,0,COLUMN()),INDEX(MO_Common_QEndDate,0,COLUMN()))),"N/A")</f>
        <v>N/A</v>
      </c>
      <c r="H792" s="453" t="str">
        <f ca="1">IFERROR(IF(INDEX(MO_Common_QEndDate,0,COLUMN())&gt;TODAY(),CIQ("$"&amp;HP.TradeCurrency&amp;MO.ReportCurrency,"IQ_LASTSALEPRICE"),CIQAVG("$"&amp;HP.TradeCurrency&amp;MO.ReportCurrency,"IQ_LASTSALEPRICE",INDEX(MO_SNA_FPStartDate,0,COLUMN()),INDEX(MO_Common_QEndDate,0,COLUMN()))),"N/A")</f>
        <v>N/A</v>
      </c>
      <c r="I792" s="453" t="str">
        <f ca="1">IFERROR(IF(INDEX(MO_Common_QEndDate,0,COLUMN())&gt;TODAY(),CIQ("$"&amp;HP.TradeCurrency&amp;MO.ReportCurrency,"IQ_LASTSALEPRICE"),CIQAVG("$"&amp;HP.TradeCurrency&amp;MO.ReportCurrency,"IQ_LASTSALEPRICE",INDEX(MO_SNA_FPStartDate,0,COLUMN()),INDEX(MO_Common_QEndDate,0,COLUMN()))),"N/A")</f>
        <v>N/A</v>
      </c>
      <c r="J792" s="453" t="str">
        <f ca="1">IFERROR(IF(INDEX(MO_Common_QEndDate,0,COLUMN())&gt;TODAY(),CIQ("$"&amp;HP.TradeCurrency&amp;MO.ReportCurrency,"IQ_LASTSALEPRICE"),CIQAVG("$"&amp;HP.TradeCurrency&amp;MO.ReportCurrency,"IQ_LASTSALEPRICE",INDEX(MO_SNA_FPStartDate,0,COLUMN()),INDEX(MO_Common_QEndDate,0,COLUMN()))),"N/A")</f>
        <v>N/A</v>
      </c>
      <c r="K792" s="453" t="str">
        <f ca="1">IFERROR(IF(INDEX(MO_Common_QEndDate,0,COLUMN())&gt;TODAY(),CIQ("$"&amp;HP.TradeCurrency&amp;MO.ReportCurrency,"IQ_LASTSALEPRICE"),CIQAVG("$"&amp;HP.TradeCurrency&amp;MO.ReportCurrency,"IQ_LASTSALEPRICE",INDEX(MO_SNA_FPStartDate,0,COLUMN()),INDEX(MO_Common_QEndDate,0,COLUMN()))),"N/A")</f>
        <v>N/A</v>
      </c>
      <c r="L792" s="453" t="str">
        <f ca="1">IFERROR(IF(INDEX(MO_Common_QEndDate,0,COLUMN())&gt;TODAY(),CIQ("$"&amp;HP.TradeCurrency&amp;MO.ReportCurrency,"IQ_LASTSALEPRICE"),CIQAVG("$"&amp;HP.TradeCurrency&amp;MO.ReportCurrency,"IQ_LASTSALEPRICE",INDEX(MO_SNA_FPStartDate,0,COLUMN()),INDEX(MO_Common_QEndDate,0,COLUMN()))),"N/A")</f>
        <v>N/A</v>
      </c>
      <c r="M792" s="453" t="str">
        <f ca="1">IFERROR(IF(INDEX(MO_Common_QEndDate,0,COLUMN())&gt;TODAY(),CIQ("$"&amp;HP.TradeCurrency&amp;MO.ReportCurrency,"IQ_LASTSALEPRICE"),CIQAVG("$"&amp;HP.TradeCurrency&amp;MO.ReportCurrency,"IQ_LASTSALEPRICE",INDEX(MO_SNA_FPStartDate,0,COLUMN()),INDEX(MO_Common_QEndDate,0,COLUMN()))),"N/A")</f>
        <v>N/A</v>
      </c>
      <c r="N792" s="453" t="str">
        <f ca="1">IFERROR(IF(INDEX(MO_Common_QEndDate,0,COLUMN())&gt;TODAY(),CIQ("$"&amp;HP.TradeCurrency&amp;MO.ReportCurrency,"IQ_LASTSALEPRICE"),CIQAVG("$"&amp;HP.TradeCurrency&amp;MO.ReportCurrency,"IQ_LASTSALEPRICE",INDEX(MO_SNA_FPStartDate,0,COLUMN()),INDEX(MO_Common_QEndDate,0,COLUMN()))),"N/A")</f>
        <v>N/A</v>
      </c>
      <c r="O792" s="453" t="str">
        <f ca="1">IFERROR(IF(INDEX(MO_Common_QEndDate,0,COLUMN())&gt;TODAY(),CIQ("$"&amp;HP.TradeCurrency&amp;MO.ReportCurrency,"IQ_LASTSALEPRICE"),CIQAVG("$"&amp;HP.TradeCurrency&amp;MO.ReportCurrency,"IQ_LASTSALEPRICE",INDEX(MO_SNA_FPStartDate,0,COLUMN()),INDEX(MO_Common_QEndDate,0,COLUMN()))),"N/A")</f>
        <v>N/A</v>
      </c>
      <c r="P792" s="453" t="str">
        <f ca="1">IFERROR(IF(INDEX(MO_Common_QEndDate,0,COLUMN())&gt;TODAY(),CIQ("$"&amp;HP.TradeCurrency&amp;MO.ReportCurrency,"IQ_LASTSALEPRICE"),CIQAVG("$"&amp;HP.TradeCurrency&amp;MO.ReportCurrency,"IQ_LASTSALEPRICE",INDEX(MO_SNA_FPStartDate,0,COLUMN()),INDEX(MO_Common_QEndDate,0,COLUMN()))),"N/A")</f>
        <v>N/A</v>
      </c>
      <c r="Q792" s="453" t="str">
        <f ca="1">IFERROR(IF(INDEX(MO_Common_QEndDate,0,COLUMN())&gt;TODAY(),CIQ("$"&amp;HP.TradeCurrency&amp;MO.ReportCurrency,"IQ_LASTSALEPRICE"),CIQAVG("$"&amp;HP.TradeCurrency&amp;MO.ReportCurrency,"IQ_LASTSALEPRICE",INDEX(MO_SNA_FPStartDate,0,COLUMN()),INDEX(MO_Common_QEndDate,0,COLUMN()))),"N/A")</f>
        <v>N/A</v>
      </c>
      <c r="R792" s="453" t="str">
        <f ca="1">IFERROR(IF(INDEX(MO_Common_QEndDate,0,COLUMN())&gt;TODAY(),CIQ("$"&amp;HP.TradeCurrency&amp;MO.ReportCurrency,"IQ_LASTSALEPRICE"),CIQAVG("$"&amp;HP.TradeCurrency&amp;MO.ReportCurrency,"IQ_LASTSALEPRICE",INDEX(MO_SNA_FPStartDate,0,COLUMN()),INDEX(MO_Common_QEndDate,0,COLUMN()))),"N/A")</f>
        <v>N/A</v>
      </c>
      <c r="S792" s="453" t="str">
        <f ca="1">IFERROR(IF(INDEX(MO_Common_QEndDate,0,COLUMN())&gt;TODAY(),CIQ("$"&amp;HP.TradeCurrency&amp;MO.ReportCurrency,"IQ_LASTSALEPRICE"),CIQAVG("$"&amp;HP.TradeCurrency&amp;MO.ReportCurrency,"IQ_LASTSALEPRICE",INDEX(MO_SNA_FPStartDate,0,COLUMN()),INDEX(MO_Common_QEndDate,0,COLUMN()))),"N/A")</f>
        <v>N/A</v>
      </c>
      <c r="T792" s="453" t="str">
        <f ca="1">IFERROR(IF(INDEX(MO_Common_QEndDate,0,COLUMN())&gt;TODAY(),CIQ("$"&amp;HP.TradeCurrency&amp;MO.ReportCurrency,"IQ_LASTSALEPRICE"),CIQAVG("$"&amp;HP.TradeCurrency&amp;MO.ReportCurrency,"IQ_LASTSALEPRICE",INDEX(MO_SNA_FPStartDate,0,COLUMN()),INDEX(MO_Common_QEndDate,0,COLUMN()))),"N/A")</f>
        <v>N/A</v>
      </c>
      <c r="U792" s="453" t="str">
        <f ca="1">IFERROR(IF(INDEX(MO_Common_QEndDate,0,COLUMN())&gt;TODAY(),CIQ("$"&amp;HP.TradeCurrency&amp;MO.ReportCurrency,"IQ_LASTSALEPRICE"),CIQAVG("$"&amp;HP.TradeCurrency&amp;MO.ReportCurrency,"IQ_LASTSALEPRICE",INDEX(MO_SNA_FPStartDate,0,COLUMN()),INDEX(MO_Common_QEndDate,0,COLUMN()))),"N/A")</f>
        <v>N/A</v>
      </c>
      <c r="V792" s="453" t="str">
        <f ca="1">IFERROR(IF(INDEX(MO_Common_QEndDate,0,COLUMN())&gt;TODAY(),CIQ("$"&amp;HP.TradeCurrency&amp;MO.ReportCurrency,"IQ_LASTSALEPRICE"),CIQAVG("$"&amp;HP.TradeCurrency&amp;MO.ReportCurrency,"IQ_LASTSALEPRICE",INDEX(MO_SNA_FPStartDate,0,COLUMN()),INDEX(MO_Common_QEndDate,0,COLUMN()))),"N/A")</f>
        <v>N/A</v>
      </c>
      <c r="W792" s="453" t="str">
        <f ca="1">IFERROR(IF(INDEX(MO_Common_QEndDate,0,COLUMN())&gt;TODAY(),CIQ("$"&amp;HP.TradeCurrency&amp;MO.ReportCurrency,"IQ_LASTSALEPRICE"),CIQAVG("$"&amp;HP.TradeCurrency&amp;MO.ReportCurrency,"IQ_LASTSALEPRICE",INDEX(MO_SNA_FPStartDate,0,COLUMN()),INDEX(MO_Common_QEndDate,0,COLUMN()))),"N/A")</f>
        <v>N/A</v>
      </c>
      <c r="X792" s="453" t="str">
        <f ca="1">IFERROR(IF(INDEX(MO_Common_QEndDate,0,COLUMN())&gt;TODAY(),CIQ("$"&amp;HP.TradeCurrency&amp;MO.ReportCurrency,"IQ_LASTSALEPRICE"),CIQAVG("$"&amp;HP.TradeCurrency&amp;MO.ReportCurrency,"IQ_LASTSALEPRICE",INDEX(MO_SNA_FPStartDate,0,COLUMN()),INDEX(MO_Common_QEndDate,0,COLUMN()))),"N/A")</f>
        <v>N/A</v>
      </c>
      <c r="Y792" s="453" t="str">
        <f ca="1">IFERROR(IF(INDEX(MO_Common_QEndDate,0,COLUMN())&gt;TODAY(),CIQ("$"&amp;HP.TradeCurrency&amp;MO.ReportCurrency,"IQ_LASTSALEPRICE"),CIQAVG("$"&amp;HP.TradeCurrency&amp;MO.ReportCurrency,"IQ_LASTSALEPRICE",INDEX(MO_SNA_FPStartDate,0,COLUMN()),INDEX(MO_Common_QEndDate,0,COLUMN()))),"N/A")</f>
        <v>N/A</v>
      </c>
      <c r="Z792" s="453" t="str">
        <f ca="1">IFERROR(IF(INDEX(MO_Common_QEndDate,0,COLUMN())&gt;TODAY(),CIQ("$"&amp;HP.TradeCurrency&amp;MO.ReportCurrency,"IQ_LASTSALEPRICE"),CIQAVG("$"&amp;HP.TradeCurrency&amp;MO.ReportCurrency,"IQ_LASTSALEPRICE",INDEX(MO_SNA_FPStartDate,0,COLUMN()),INDEX(MO_Common_QEndDate,0,COLUMN()))),"N/A")</f>
        <v>N/A</v>
      </c>
      <c r="AA792" s="453" t="str">
        <f ca="1">IFERROR(IF(INDEX(MO_Common_QEndDate,0,COLUMN())&gt;TODAY(),CIQ("$"&amp;HP.TradeCurrency&amp;MO.ReportCurrency,"IQ_LASTSALEPRICE"),CIQAVG("$"&amp;HP.TradeCurrency&amp;MO.ReportCurrency,"IQ_LASTSALEPRICE",INDEX(MO_SNA_FPStartDate,0,COLUMN()),INDEX(MO_Common_QEndDate,0,COLUMN()))),"N/A")</f>
        <v>N/A</v>
      </c>
      <c r="AB792" s="453" t="str">
        <f ca="1">IFERROR(IF(INDEX(MO_Common_QEndDate,0,COLUMN())&gt;TODAY(),CIQ("$"&amp;HP.TradeCurrency&amp;MO.ReportCurrency,"IQ_LASTSALEPRICE"),CIQAVG("$"&amp;HP.TradeCurrency&amp;MO.ReportCurrency,"IQ_LASTSALEPRICE",INDEX(MO_SNA_FPStartDate,0,COLUMN()),INDEX(MO_Common_QEndDate,0,COLUMN()))),"N/A")</f>
        <v>N/A</v>
      </c>
      <c r="AC792" s="453" t="str">
        <f ca="1">IFERROR(IF(INDEX(MO_Common_QEndDate,0,COLUMN())&gt;TODAY(),CIQ("$"&amp;HP.TradeCurrency&amp;MO.ReportCurrency,"IQ_LASTSALEPRICE"),CIQAVG("$"&amp;HP.TradeCurrency&amp;MO.ReportCurrency,"IQ_LASTSALEPRICE",INDEX(MO_SNA_FPStartDate,0,COLUMN()),INDEX(MO_Common_QEndDate,0,COLUMN()))),"N/A")</f>
        <v>N/A</v>
      </c>
      <c r="AD792" s="453" t="str">
        <f ca="1">IFERROR(IF(INDEX(MO_Common_QEndDate,0,COLUMN())&gt;TODAY(),CIQ("$"&amp;HP.TradeCurrency&amp;MO.ReportCurrency,"IQ_LASTSALEPRICE"),CIQAVG("$"&amp;HP.TradeCurrency&amp;MO.ReportCurrency,"IQ_LASTSALEPRICE",INDEX(MO_SNA_FPStartDate,0,COLUMN()),INDEX(MO_Common_QEndDate,0,COLUMN()))),"N/A")</f>
        <v>N/A</v>
      </c>
      <c r="AE792" s="453" t="str">
        <f ca="1">IFERROR(IF(INDEX(MO_Common_QEndDate,0,COLUMN())&gt;TODAY(),CIQ("$"&amp;HP.TradeCurrency&amp;MO.ReportCurrency,"IQ_LASTSALEPRICE"),CIQAVG("$"&amp;HP.TradeCurrency&amp;MO.ReportCurrency,"IQ_LASTSALEPRICE",INDEX(MO_SNA_FPStartDate,0,COLUMN()),INDEX(MO_Common_QEndDate,0,COLUMN()))),"N/A")</f>
        <v>N/A</v>
      </c>
      <c r="AF792" s="453" t="str">
        <f ca="1">IFERROR(IF(INDEX(MO_Common_QEndDate,0,COLUMN())&gt;TODAY(),CIQ("$"&amp;HP.TradeCurrency&amp;MO.ReportCurrency,"IQ_LASTSALEPRICE"),CIQAVG("$"&amp;HP.TradeCurrency&amp;MO.ReportCurrency,"IQ_LASTSALEPRICE",INDEX(MO_SNA_FPStartDate,0,COLUMN()),INDEX(MO_Common_QEndDate,0,COLUMN()))),"N/A")</f>
        <v>N/A</v>
      </c>
      <c r="AG792" s="453" t="str">
        <f ca="1">IFERROR(IF(INDEX(MO_Common_QEndDate,0,COLUMN())&gt;TODAY(),CIQ("$"&amp;HP.TradeCurrency&amp;MO.ReportCurrency,"IQ_LASTSALEPRICE"),CIQAVG("$"&amp;HP.TradeCurrency&amp;MO.ReportCurrency,"IQ_LASTSALEPRICE",INDEX(MO_SNA_FPStartDate,0,COLUMN()),INDEX(MO_Common_QEndDate,0,COLUMN()))),"N/A")</f>
        <v>N/A</v>
      </c>
      <c r="AH792" s="453" t="str">
        <f ca="1">IFERROR(IF(INDEX(MO_Common_QEndDate,0,COLUMN())&gt;TODAY(),CIQ("$"&amp;HP.TradeCurrency&amp;MO.ReportCurrency,"IQ_LASTSALEPRICE"),CIQAVG("$"&amp;HP.TradeCurrency&amp;MO.ReportCurrency,"IQ_LASTSALEPRICE",INDEX(MO_SNA_FPStartDate,0,COLUMN()),INDEX(MO_Common_QEndDate,0,COLUMN()))),"N/A")</f>
        <v>N/A</v>
      </c>
      <c r="AI792" s="453" t="str">
        <f ca="1">IFERROR(IF(INDEX(MO_Common_QEndDate,0,COLUMN())&gt;TODAY(),CIQ("$"&amp;HP.TradeCurrency&amp;MO.ReportCurrency,"IQ_LASTSALEPRICE"),CIQAVG("$"&amp;HP.TradeCurrency&amp;MO.ReportCurrency,"IQ_LASTSALEPRICE",INDEX(MO_SNA_FPStartDate,0,COLUMN()),INDEX(MO_Common_QEndDate,0,COLUMN()))),"N/A")</f>
        <v>N/A</v>
      </c>
      <c r="AJ792" s="453" t="str">
        <f ca="1">IFERROR(IF(INDEX(MO_Common_QEndDate,0,COLUMN())&gt;TODAY(),CIQ("$"&amp;HP.TradeCurrency&amp;MO.ReportCurrency,"IQ_LASTSALEPRICE"),CIQAVG("$"&amp;HP.TradeCurrency&amp;MO.ReportCurrency,"IQ_LASTSALEPRICE",INDEX(MO_SNA_FPStartDate,0,COLUMN()),INDEX(MO_Common_QEndDate,0,COLUMN()))),"N/A")</f>
        <v>N/A</v>
      </c>
      <c r="AK792" s="453" t="str">
        <f ca="1">IFERROR(IF(INDEX(MO_Common_QEndDate,0,COLUMN())&gt;TODAY(),CIQ("$"&amp;HP.TradeCurrency&amp;MO.ReportCurrency,"IQ_LASTSALEPRICE"),CIQAVG("$"&amp;HP.TradeCurrency&amp;MO.ReportCurrency,"IQ_LASTSALEPRICE",INDEX(MO_SNA_FPStartDate,0,COLUMN()),INDEX(MO_Common_QEndDate,0,COLUMN()))),"N/A")</f>
        <v>N/A</v>
      </c>
      <c r="AL792" s="453" t="str">
        <f ca="1">IFERROR(IF(INDEX(MO_Common_QEndDate,0,COLUMN())&gt;TODAY(),CIQ("$"&amp;HP.TradeCurrency&amp;MO.ReportCurrency,"IQ_LASTSALEPRICE"),CIQAVG("$"&amp;HP.TradeCurrency&amp;MO.ReportCurrency,"IQ_LASTSALEPRICE",INDEX(MO_SNA_FPStartDate,0,COLUMN()),INDEX(MO_Common_QEndDate,0,COLUMN()))),"N/A")</f>
        <v>N/A</v>
      </c>
      <c r="AM792" s="453" t="str">
        <f ca="1">IFERROR(IF(INDEX(MO_Common_QEndDate,0,COLUMN())&gt;TODAY(),CIQ("$"&amp;HP.TradeCurrency&amp;MO.ReportCurrency,"IQ_LASTSALEPRICE"),CIQAVG("$"&amp;HP.TradeCurrency&amp;MO.ReportCurrency,"IQ_LASTSALEPRICE",INDEX(MO_SNA_FPStartDate,0,COLUMN()),INDEX(MO_Common_QEndDate,0,COLUMN()))),"N/A")</f>
        <v>N/A</v>
      </c>
      <c r="AN792" s="453" t="str">
        <f ca="1">IFERROR(IF(INDEX(MO_Common_QEndDate,0,COLUMN())&gt;TODAY(),CIQ("$"&amp;HP.TradeCurrency&amp;MO.ReportCurrency,"IQ_LASTSALEPRICE"),CIQAVG("$"&amp;HP.TradeCurrency&amp;MO.ReportCurrency,"IQ_LASTSALEPRICE",INDEX(MO_SNA_FPStartDate,0,COLUMN()),INDEX(MO_Common_QEndDate,0,COLUMN()))),"N/A")</f>
        <v>N/A</v>
      </c>
      <c r="AO792" s="453" t="str">
        <f ca="1">IFERROR(IF(INDEX(MO_Common_QEndDate,0,COLUMN())&gt;TODAY(),CIQ("$"&amp;HP.TradeCurrency&amp;MO.ReportCurrency,"IQ_LASTSALEPRICE"),CIQAVG("$"&amp;HP.TradeCurrency&amp;MO.ReportCurrency,"IQ_LASTSALEPRICE",INDEX(MO_SNA_FPStartDate,0,COLUMN()),INDEX(MO_Common_QEndDate,0,COLUMN()))),"N/A")</f>
        <v>N/A</v>
      </c>
      <c r="AP792" s="453" t="str">
        <f ca="1">IFERROR(IF(INDEX(MO_Common_QEndDate,0,COLUMN())&gt;TODAY(),CIQ("$"&amp;HP.TradeCurrency&amp;MO.ReportCurrency,"IQ_LASTSALEPRICE"),CIQAVG("$"&amp;HP.TradeCurrency&amp;MO.ReportCurrency,"IQ_LASTSALEPRICE",INDEX(MO_SNA_FPStartDate,0,COLUMN()),INDEX(MO_Common_QEndDate,0,COLUMN()))),"N/A")</f>
        <v>N/A</v>
      </c>
      <c r="AQ792" s="453" t="str">
        <f ca="1">IFERROR(IF(INDEX(MO_Common_QEndDate,0,COLUMN())&gt;TODAY(),CIQ("$"&amp;HP.TradeCurrency&amp;MO.ReportCurrency,"IQ_LASTSALEPRICE"),CIQAVG("$"&amp;HP.TradeCurrency&amp;MO.ReportCurrency,"IQ_LASTSALEPRICE",INDEX(MO_SNA_FPStartDate,0,COLUMN()),INDEX(MO_Common_QEndDate,0,COLUMN()))),"N/A")</f>
        <v>N/A</v>
      </c>
      <c r="AR792" s="453" t="str">
        <f ca="1">IFERROR(IF(INDEX(MO_Common_QEndDate,0,COLUMN())&gt;TODAY(),CIQ("$"&amp;HP.TradeCurrency&amp;MO.ReportCurrency,"IQ_LASTSALEPRICE"),CIQAVG("$"&amp;HP.TradeCurrency&amp;MO.ReportCurrency,"IQ_LASTSALEPRICE",INDEX(MO_SNA_FPStartDate,0,COLUMN()),INDEX(MO_Common_QEndDate,0,COLUMN()))),"N/A")</f>
        <v>N/A</v>
      </c>
      <c r="AS792" s="453" t="str">
        <f ca="1">IFERROR(IF(INDEX(MO_Common_QEndDate,0,COLUMN())&gt;TODAY(),CIQ("$"&amp;HP.TradeCurrency&amp;MO.ReportCurrency,"IQ_LASTSALEPRICE"),CIQAVG("$"&amp;HP.TradeCurrency&amp;MO.ReportCurrency,"IQ_LASTSALEPRICE",INDEX(MO_SNA_FPStartDate,0,COLUMN()),INDEX(MO_Common_QEndDate,0,COLUMN()))),"N/A")</f>
        <v>N/A</v>
      </c>
      <c r="AT792" s="453" t="str">
        <f ca="1">IFERROR(IF(INDEX(MO_Common_QEndDate,0,COLUMN())&gt;TODAY(),CIQ("$"&amp;HP.TradeCurrency&amp;MO.ReportCurrency,"IQ_LASTSALEPRICE"),CIQAVG("$"&amp;HP.TradeCurrency&amp;MO.ReportCurrency,"IQ_LASTSALEPRICE",INDEX(MO_SNA_FPStartDate,0,COLUMN()),INDEX(MO_Common_QEndDate,0,COLUMN()))),"N/A")</f>
        <v>N/A</v>
      </c>
      <c r="AU792" s="453" t="str">
        <f ca="1">IFERROR(IF(INDEX(MO_Common_QEndDate,0,COLUMN())&gt;TODAY(),CIQ("$"&amp;HP.TradeCurrency&amp;MO.ReportCurrency,"IQ_LASTSALEPRICE"),CIQAVG("$"&amp;HP.TradeCurrency&amp;MO.ReportCurrency,"IQ_LASTSALEPRICE",INDEX(MO_SNA_FPStartDate,0,COLUMN()),INDEX(MO_Common_QEndDate,0,COLUMN()))),"N/A")</f>
        <v>N/A</v>
      </c>
      <c r="AV792" s="453" t="str">
        <f ca="1">IFERROR(IF(INDEX(MO_Common_QEndDate,0,COLUMN())&gt;TODAY(),CIQ("$"&amp;HP.TradeCurrency&amp;MO.ReportCurrency,"IQ_LASTSALEPRICE"),CIQAVG("$"&amp;HP.TradeCurrency&amp;MO.ReportCurrency,"IQ_LASTSALEPRICE",INDEX(MO_SNA_FPStartDate,0,COLUMN()),INDEX(MO_Common_QEndDate,0,COLUMN()))),"N/A")</f>
        <v>N/A</v>
      </c>
      <c r="AW792" s="605" t="str">
        <f ca="1">IFERROR(IF(INDEX(MO_Common_QEndDate,0,COLUMN())&gt;TODAY(),CIQ("$"&amp;HP.TradeCurrency&amp;MO.ReportCurrency,"IQ_LASTSALEPRICE"),CIQAVG("$"&amp;HP.TradeCurrency&amp;MO.ReportCurrency,"IQ_LASTSALEPRICE",INDEX(MO_SNA_FPStartDate,0,COLUMN()),INDEX(MO_Common_QEndDate,0,COLUMN()))),"N/A")</f>
        <v>N/A</v>
      </c>
      <c r="AX792" s="453" t="str">
        <f ca="1">IFERROR(IF(INDEX(MO_Common_QEndDate,0,COLUMN())&gt;TODAY(),CIQ("$"&amp;HP.TradeCurrency&amp;MO.ReportCurrency,"IQ_LASTSALEPRICE"),CIQAVG("$"&amp;HP.TradeCurrency&amp;MO.ReportCurrency,"IQ_LASTSALEPRICE",INDEX(MO_SNA_FPStartDate,0,COLUMN()),INDEX(MO_Common_QEndDate,0,COLUMN()))),"N/A")</f>
        <v>N/A</v>
      </c>
      <c r="AY792" s="453" t="str">
        <f ca="1">IFERROR(IF(INDEX(MO_Common_QEndDate,0,COLUMN())&gt;TODAY(),CIQ("$"&amp;HP.TradeCurrency&amp;MO.ReportCurrency,"IQ_LASTSALEPRICE"),CIQAVG("$"&amp;HP.TradeCurrency&amp;MO.ReportCurrency,"IQ_LASTSALEPRICE",INDEX(MO_SNA_FPStartDate,0,COLUMN()),INDEX(MO_Common_QEndDate,0,COLUMN()))),"N/A")</f>
        <v>N/A</v>
      </c>
      <c r="AZ792" s="453" t="str">
        <f ca="1">IFERROR(IF(INDEX(MO_Common_QEndDate,0,COLUMN())&gt;TODAY(),CIQ("$"&amp;HP.TradeCurrency&amp;MO.ReportCurrency,"IQ_LASTSALEPRICE"),CIQAVG("$"&amp;HP.TradeCurrency&amp;MO.ReportCurrency,"IQ_LASTSALEPRICE",INDEX(MO_SNA_FPStartDate,0,COLUMN()),INDEX(MO_Common_QEndDate,0,COLUMN()))),"N/A")</f>
        <v>N/A</v>
      </c>
      <c r="BA792" s="453" t="str">
        <f ca="1">IFERROR(IF(INDEX(MO_Common_QEndDate,0,COLUMN())&gt;TODAY(),CIQ("$"&amp;HP.TradeCurrency&amp;MO.ReportCurrency,"IQ_LASTSALEPRICE"),CIQAVG("$"&amp;HP.TradeCurrency&amp;MO.ReportCurrency,"IQ_LASTSALEPRICE",INDEX(MO_SNA_FPStartDate,0,COLUMN()),INDEX(MO_Common_QEndDate,0,COLUMN()))),"N/A")</f>
        <v>N/A</v>
      </c>
      <c r="BB792" s="453" t="str">
        <f ca="1">IFERROR(IF(INDEX(MO_Common_QEndDate,0,COLUMN())&gt;TODAY(),CIQ("$"&amp;HP.TradeCurrency&amp;MO.ReportCurrency,"IQ_LASTSALEPRICE"),CIQAVG("$"&amp;HP.TradeCurrency&amp;MO.ReportCurrency,"IQ_LASTSALEPRICE",INDEX(MO_SNA_FPStartDate,0,COLUMN()),INDEX(MO_Common_QEndDate,0,COLUMN()))),"N/A")</f>
        <v>N/A</v>
      </c>
      <c r="BC792" s="453" t="str">
        <f ca="1">IFERROR(IF(INDEX(MO_Common_QEndDate,0,COLUMN())&gt;TODAY(),CIQ("$"&amp;HP.TradeCurrency&amp;MO.ReportCurrency,"IQ_LASTSALEPRICE"),CIQAVG("$"&amp;HP.TradeCurrency&amp;MO.ReportCurrency,"IQ_LASTSALEPRICE",INDEX(MO_SNA_FPStartDate,0,COLUMN()),INDEX(MO_Common_QEndDate,0,COLUMN()))),"N/A")</f>
        <v>N/A</v>
      </c>
      <c r="BD792" s="453" t="str">
        <f ca="1">IFERROR(IF(INDEX(MO_Common_QEndDate,0,COLUMN())&gt;TODAY(),CIQ("$"&amp;HP.TradeCurrency&amp;MO.ReportCurrency,"IQ_LASTSALEPRICE"),CIQAVG("$"&amp;HP.TradeCurrency&amp;MO.ReportCurrency,"IQ_LASTSALEPRICE",INDEX(MO_SNA_FPStartDate,0,COLUMN()),INDEX(MO_Common_QEndDate,0,COLUMN()))),"N/A")</f>
        <v>N/A</v>
      </c>
      <c r="BE792" s="453" t="str">
        <f ca="1">IFERROR(IF(INDEX(MO_Common_QEndDate,0,COLUMN())&gt;TODAY(),CIQ("$"&amp;HP.TradeCurrency&amp;MO.ReportCurrency,"IQ_LASTSALEPRICE"),CIQAVG("$"&amp;HP.TradeCurrency&amp;MO.ReportCurrency,"IQ_LASTSALEPRICE",INDEX(MO_SNA_FPStartDate,0,COLUMN()),INDEX(MO_Common_QEndDate,0,COLUMN()))),"N/A")</f>
        <v>N/A</v>
      </c>
      <c r="BF792" s="453" t="str">
        <f ca="1">IFERROR(IF(INDEX(MO_Common_QEndDate,0,COLUMN())&gt;TODAY(),CIQ("$"&amp;HP.TradeCurrency&amp;MO.ReportCurrency,"IQ_LASTSALEPRICE"),CIQAVG("$"&amp;HP.TradeCurrency&amp;MO.ReportCurrency,"IQ_LASTSALEPRICE",INDEX(MO_SNA_FPStartDate,0,COLUMN()),INDEX(MO_Common_QEndDate,0,COLUMN()))),"N/A")</f>
        <v>N/A</v>
      </c>
      <c r="BG792" s="454" t="str">
        <f ca="1">IFERROR(IF(INDEX(MO_Common_QEndDate,0,COLUMN())&gt;TODAY(),CIQ("$"&amp;HP.TradeCurrency&amp;MO.ReportCurrency,"IQ_LASTSALEPRICE"),CIQAVG("$"&amp;HP.TradeCurrency&amp;MO.ReportCurrency,"IQ_LASTSALEPRICE",INDEX(MO_SNA_FPStartDate,0,COLUMN()),INDEX(MO_Common_QEndDate,0,COLUMN()))),"N/A")</f>
        <v>N/A</v>
      </c>
      <c r="BH792" s="308"/>
    </row>
    <row r="793" spans="1:60" customFormat="1" hidden="1" outlineLevel="1" x14ac:dyDescent="0.25">
      <c r="A793" s="309" t="s">
        <v>264</v>
      </c>
      <c r="B793" s="453"/>
      <c r="C793" s="452" t="str">
        <f ca="1">IFERROR(IF(INDEX(MO_Common_QEndDate,0,COLUMN())&gt;TODAY(),FDS(MO.ReportCurrency&amp;HP.TradeCurrency,"FG_PRICE(NOW)"),FDS(MO.ReportCurrency&amp;HP.TradeCurrency,"P_PRICE_AVG("&amp;INDEX(MO_SNA_FPStartDate,0,COLUMN())&amp;","&amp;INDEX(MO_Common_QEndDate,0,COLUMN())&amp;",,,,0)")),"N/A")</f>
        <v>N/A</v>
      </c>
      <c r="D793" s="452" t="str">
        <f ca="1">IFERROR(IF(INDEX(MO_Common_QEndDate,0,COLUMN())&gt;TODAY(),FDS(MO.ReportCurrency&amp;HP.TradeCurrency,"FG_PRICE(NOW)"),FDS(MO.ReportCurrency&amp;HP.TradeCurrency,"P_PRICE_AVG("&amp;INDEX(MO_SNA_FPStartDate,0,COLUMN())&amp;","&amp;INDEX(MO_Common_QEndDate,0,COLUMN())&amp;",,,,0)")),"N/A")</f>
        <v>N/A</v>
      </c>
      <c r="E793" s="453" t="str">
        <f ca="1">IFERROR(IF(INDEX(MO_Common_QEndDate,0,COLUMN())&gt;TODAY(),FDS(MO.ReportCurrency&amp;HP.TradeCurrency,"FG_PRICE(NOW)"),FDS(MO.ReportCurrency&amp;HP.TradeCurrency,"P_PRICE_AVG("&amp;INDEX(MO_SNA_FPStartDate,0,COLUMN())&amp;","&amp;INDEX(MO_Common_QEndDate,0,COLUMN())&amp;",,,,0)")),"N/A")</f>
        <v>N/A</v>
      </c>
      <c r="F793" s="453" t="str">
        <f ca="1">IFERROR(IF(INDEX(MO_Common_QEndDate,0,COLUMN())&gt;TODAY(),FDS(MO.ReportCurrency&amp;HP.TradeCurrency,"FG_PRICE(NOW)"),FDS(MO.ReportCurrency&amp;HP.TradeCurrency,"P_PRICE_AVG("&amp;INDEX(MO_SNA_FPStartDate,0,COLUMN())&amp;","&amp;INDEX(MO_Common_QEndDate,0,COLUMN())&amp;",,,,0)")),"N/A")</f>
        <v>N/A</v>
      </c>
      <c r="G793" s="453" t="str">
        <f ca="1">IFERROR(IF(INDEX(MO_Common_QEndDate,0,COLUMN())&gt;TODAY(),FDS(MO.ReportCurrency&amp;HP.TradeCurrency,"FG_PRICE(NOW)"),FDS(MO.ReportCurrency&amp;HP.TradeCurrency,"P_PRICE_AVG("&amp;INDEX(MO_SNA_FPStartDate,0,COLUMN())&amp;","&amp;INDEX(MO_Common_QEndDate,0,COLUMN())&amp;",,,,0)")),"N/A")</f>
        <v>N/A</v>
      </c>
      <c r="H793" s="453" t="str">
        <f ca="1">IFERROR(IF(INDEX(MO_Common_QEndDate,0,COLUMN())&gt;TODAY(),FDS(MO.ReportCurrency&amp;HP.TradeCurrency,"FG_PRICE(NOW)"),FDS(MO.ReportCurrency&amp;HP.TradeCurrency,"P_PRICE_AVG("&amp;INDEX(MO_SNA_FPStartDate,0,COLUMN())&amp;","&amp;INDEX(MO_Common_QEndDate,0,COLUMN())&amp;",,,,0)")),"N/A")</f>
        <v>N/A</v>
      </c>
      <c r="I793" s="453" t="str">
        <f ca="1">IFERROR(IF(INDEX(MO_Common_QEndDate,0,COLUMN())&gt;TODAY(),FDS(MO.ReportCurrency&amp;HP.TradeCurrency,"FG_PRICE(NOW)"),FDS(MO.ReportCurrency&amp;HP.TradeCurrency,"P_PRICE_AVG("&amp;INDEX(MO_SNA_FPStartDate,0,COLUMN())&amp;","&amp;INDEX(MO_Common_QEndDate,0,COLUMN())&amp;",,,,0)")),"N/A")</f>
        <v>N/A</v>
      </c>
      <c r="J793" s="453" t="str">
        <f ca="1">IFERROR(IF(INDEX(MO_Common_QEndDate,0,COLUMN())&gt;TODAY(),FDS(MO.ReportCurrency&amp;HP.TradeCurrency,"FG_PRICE(NOW)"),FDS(MO.ReportCurrency&amp;HP.TradeCurrency,"P_PRICE_AVG("&amp;INDEX(MO_SNA_FPStartDate,0,COLUMN())&amp;","&amp;INDEX(MO_Common_QEndDate,0,COLUMN())&amp;",,,,0)")),"N/A")</f>
        <v>N/A</v>
      </c>
      <c r="K793" s="453" t="str">
        <f ca="1">IFERROR(IF(INDEX(MO_Common_QEndDate,0,COLUMN())&gt;TODAY(),FDS(MO.ReportCurrency&amp;HP.TradeCurrency,"FG_PRICE(NOW)"),FDS(MO.ReportCurrency&amp;HP.TradeCurrency,"P_PRICE_AVG("&amp;INDEX(MO_SNA_FPStartDate,0,COLUMN())&amp;","&amp;INDEX(MO_Common_QEndDate,0,COLUMN())&amp;",,,,0)")),"N/A")</f>
        <v>N/A</v>
      </c>
      <c r="L793" s="453" t="str">
        <f ca="1">IFERROR(IF(INDEX(MO_Common_QEndDate,0,COLUMN())&gt;TODAY(),FDS(MO.ReportCurrency&amp;HP.TradeCurrency,"FG_PRICE(NOW)"),FDS(MO.ReportCurrency&amp;HP.TradeCurrency,"P_PRICE_AVG("&amp;INDEX(MO_SNA_FPStartDate,0,COLUMN())&amp;","&amp;INDEX(MO_Common_QEndDate,0,COLUMN())&amp;",,,,0)")),"N/A")</f>
        <v>N/A</v>
      </c>
      <c r="M793" s="453" t="str">
        <f ca="1">IFERROR(IF(INDEX(MO_Common_QEndDate,0,COLUMN())&gt;TODAY(),FDS(MO.ReportCurrency&amp;HP.TradeCurrency,"FG_PRICE(NOW)"),FDS(MO.ReportCurrency&amp;HP.TradeCurrency,"P_PRICE_AVG("&amp;INDEX(MO_SNA_FPStartDate,0,COLUMN())&amp;","&amp;INDEX(MO_Common_QEndDate,0,COLUMN())&amp;",,,,0)")),"N/A")</f>
        <v>N/A</v>
      </c>
      <c r="N793" s="453" t="str">
        <f ca="1">IFERROR(IF(INDEX(MO_Common_QEndDate,0,COLUMN())&gt;TODAY(),FDS(MO.ReportCurrency&amp;HP.TradeCurrency,"FG_PRICE(NOW)"),FDS(MO.ReportCurrency&amp;HP.TradeCurrency,"P_PRICE_AVG("&amp;INDEX(MO_SNA_FPStartDate,0,COLUMN())&amp;","&amp;INDEX(MO_Common_QEndDate,0,COLUMN())&amp;",,,,0)")),"N/A")</f>
        <v>N/A</v>
      </c>
      <c r="O793" s="453" t="str">
        <f ca="1">IFERROR(IF(INDEX(MO_Common_QEndDate,0,COLUMN())&gt;TODAY(),FDS(MO.ReportCurrency&amp;HP.TradeCurrency,"FG_PRICE(NOW)"),FDS(MO.ReportCurrency&amp;HP.TradeCurrency,"P_PRICE_AVG("&amp;INDEX(MO_SNA_FPStartDate,0,COLUMN())&amp;","&amp;INDEX(MO_Common_QEndDate,0,COLUMN())&amp;",,,,0)")),"N/A")</f>
        <v>N/A</v>
      </c>
      <c r="P793" s="453" t="str">
        <f ca="1">IFERROR(IF(INDEX(MO_Common_QEndDate,0,COLUMN())&gt;TODAY(),FDS(MO.ReportCurrency&amp;HP.TradeCurrency,"FG_PRICE(NOW)"),FDS(MO.ReportCurrency&amp;HP.TradeCurrency,"P_PRICE_AVG("&amp;INDEX(MO_SNA_FPStartDate,0,COLUMN())&amp;","&amp;INDEX(MO_Common_QEndDate,0,COLUMN())&amp;",,,,0)")),"N/A")</f>
        <v>N/A</v>
      </c>
      <c r="Q793" s="453" t="str">
        <f ca="1">IFERROR(IF(INDEX(MO_Common_QEndDate,0,COLUMN())&gt;TODAY(),FDS(MO.ReportCurrency&amp;HP.TradeCurrency,"FG_PRICE(NOW)"),FDS(MO.ReportCurrency&amp;HP.TradeCurrency,"P_PRICE_AVG("&amp;INDEX(MO_SNA_FPStartDate,0,COLUMN())&amp;","&amp;INDEX(MO_Common_QEndDate,0,COLUMN())&amp;",,,,0)")),"N/A")</f>
        <v>N/A</v>
      </c>
      <c r="R793" s="453" t="str">
        <f ca="1">IFERROR(IF(INDEX(MO_Common_QEndDate,0,COLUMN())&gt;TODAY(),FDS(MO.ReportCurrency&amp;HP.TradeCurrency,"FG_PRICE(NOW)"),FDS(MO.ReportCurrency&amp;HP.TradeCurrency,"P_PRICE_AVG("&amp;INDEX(MO_SNA_FPStartDate,0,COLUMN())&amp;","&amp;INDEX(MO_Common_QEndDate,0,COLUMN())&amp;",,,,0)")),"N/A")</f>
        <v>N/A</v>
      </c>
      <c r="S793" s="453" t="str">
        <f ca="1">IFERROR(IF(INDEX(MO_Common_QEndDate,0,COLUMN())&gt;TODAY(),FDS(MO.ReportCurrency&amp;HP.TradeCurrency,"FG_PRICE(NOW)"),FDS(MO.ReportCurrency&amp;HP.TradeCurrency,"P_PRICE_AVG("&amp;INDEX(MO_SNA_FPStartDate,0,COLUMN())&amp;","&amp;INDEX(MO_Common_QEndDate,0,COLUMN())&amp;",,,,0)")),"N/A")</f>
        <v>N/A</v>
      </c>
      <c r="T793" s="453" t="str">
        <f ca="1">IFERROR(IF(INDEX(MO_Common_QEndDate,0,COLUMN())&gt;TODAY(),FDS(MO.ReportCurrency&amp;HP.TradeCurrency,"FG_PRICE(NOW)"),FDS(MO.ReportCurrency&amp;HP.TradeCurrency,"P_PRICE_AVG("&amp;INDEX(MO_SNA_FPStartDate,0,COLUMN())&amp;","&amp;INDEX(MO_Common_QEndDate,0,COLUMN())&amp;",,,,0)")),"N/A")</f>
        <v>N/A</v>
      </c>
      <c r="U793" s="453" t="str">
        <f ca="1">IFERROR(IF(INDEX(MO_Common_QEndDate,0,COLUMN())&gt;TODAY(),FDS(MO.ReportCurrency&amp;HP.TradeCurrency,"FG_PRICE(NOW)"),FDS(MO.ReportCurrency&amp;HP.TradeCurrency,"P_PRICE_AVG("&amp;INDEX(MO_SNA_FPStartDate,0,COLUMN())&amp;","&amp;INDEX(MO_Common_QEndDate,0,COLUMN())&amp;",,,,0)")),"N/A")</f>
        <v>N/A</v>
      </c>
      <c r="V793" s="453" t="str">
        <f ca="1">IFERROR(IF(INDEX(MO_Common_QEndDate,0,COLUMN())&gt;TODAY(),FDS(MO.ReportCurrency&amp;HP.TradeCurrency,"FG_PRICE(NOW)"),FDS(MO.ReportCurrency&amp;HP.TradeCurrency,"P_PRICE_AVG("&amp;INDEX(MO_SNA_FPStartDate,0,COLUMN())&amp;","&amp;INDEX(MO_Common_QEndDate,0,COLUMN())&amp;",,,,0)")),"N/A")</f>
        <v>N/A</v>
      </c>
      <c r="W793" s="453" t="str">
        <f ca="1">IFERROR(IF(INDEX(MO_Common_QEndDate,0,COLUMN())&gt;TODAY(),FDS(MO.ReportCurrency&amp;HP.TradeCurrency,"FG_PRICE(NOW)"),FDS(MO.ReportCurrency&amp;HP.TradeCurrency,"P_PRICE_AVG("&amp;INDEX(MO_SNA_FPStartDate,0,COLUMN())&amp;","&amp;INDEX(MO_Common_QEndDate,0,COLUMN())&amp;",,,,0)")),"N/A")</f>
        <v>N/A</v>
      </c>
      <c r="X793" s="453" t="str">
        <f ca="1">IFERROR(IF(INDEX(MO_Common_QEndDate,0,COLUMN())&gt;TODAY(),FDS(MO.ReportCurrency&amp;HP.TradeCurrency,"FG_PRICE(NOW)"),FDS(MO.ReportCurrency&amp;HP.TradeCurrency,"P_PRICE_AVG("&amp;INDEX(MO_SNA_FPStartDate,0,COLUMN())&amp;","&amp;INDEX(MO_Common_QEndDate,0,COLUMN())&amp;",,,,0)")),"N/A")</f>
        <v>N/A</v>
      </c>
      <c r="Y793" s="453" t="str">
        <f ca="1">IFERROR(IF(INDEX(MO_Common_QEndDate,0,COLUMN())&gt;TODAY(),FDS(MO.ReportCurrency&amp;HP.TradeCurrency,"FG_PRICE(NOW)"),FDS(MO.ReportCurrency&amp;HP.TradeCurrency,"P_PRICE_AVG("&amp;INDEX(MO_SNA_FPStartDate,0,COLUMN())&amp;","&amp;INDEX(MO_Common_QEndDate,0,COLUMN())&amp;",,,,0)")),"N/A")</f>
        <v>N/A</v>
      </c>
      <c r="Z793" s="453" t="str">
        <f ca="1">IFERROR(IF(INDEX(MO_Common_QEndDate,0,COLUMN())&gt;TODAY(),FDS(MO.ReportCurrency&amp;HP.TradeCurrency,"FG_PRICE(NOW)"),FDS(MO.ReportCurrency&amp;HP.TradeCurrency,"P_PRICE_AVG("&amp;INDEX(MO_SNA_FPStartDate,0,COLUMN())&amp;","&amp;INDEX(MO_Common_QEndDate,0,COLUMN())&amp;",,,,0)")),"N/A")</f>
        <v>N/A</v>
      </c>
      <c r="AA793" s="453" t="str">
        <f ca="1">IFERROR(IF(INDEX(MO_Common_QEndDate,0,COLUMN())&gt;TODAY(),FDS(MO.ReportCurrency&amp;HP.TradeCurrency,"FG_PRICE(NOW)"),FDS(MO.ReportCurrency&amp;HP.TradeCurrency,"P_PRICE_AVG("&amp;INDEX(MO_SNA_FPStartDate,0,COLUMN())&amp;","&amp;INDEX(MO_Common_QEndDate,0,COLUMN())&amp;",,,,0)")),"N/A")</f>
        <v>N/A</v>
      </c>
      <c r="AB793" s="453" t="str">
        <f ca="1">IFERROR(IF(INDEX(MO_Common_QEndDate,0,COLUMN())&gt;TODAY(),FDS(MO.ReportCurrency&amp;HP.TradeCurrency,"FG_PRICE(NOW)"),FDS(MO.ReportCurrency&amp;HP.TradeCurrency,"P_PRICE_AVG("&amp;INDEX(MO_SNA_FPStartDate,0,COLUMN())&amp;","&amp;INDEX(MO_Common_QEndDate,0,COLUMN())&amp;",,,,0)")),"N/A")</f>
        <v>N/A</v>
      </c>
      <c r="AC793" s="453" t="str">
        <f ca="1">IFERROR(IF(INDEX(MO_Common_QEndDate,0,COLUMN())&gt;TODAY(),FDS(MO.ReportCurrency&amp;HP.TradeCurrency,"FG_PRICE(NOW)"),FDS(MO.ReportCurrency&amp;HP.TradeCurrency,"P_PRICE_AVG("&amp;INDEX(MO_SNA_FPStartDate,0,COLUMN())&amp;","&amp;INDEX(MO_Common_QEndDate,0,COLUMN())&amp;",,,,0)")),"N/A")</f>
        <v>N/A</v>
      </c>
      <c r="AD793" s="453" t="str">
        <f ca="1">IFERROR(IF(INDEX(MO_Common_QEndDate,0,COLUMN())&gt;TODAY(),FDS(MO.ReportCurrency&amp;HP.TradeCurrency,"FG_PRICE(NOW)"),FDS(MO.ReportCurrency&amp;HP.TradeCurrency,"P_PRICE_AVG("&amp;INDEX(MO_SNA_FPStartDate,0,COLUMN())&amp;","&amp;INDEX(MO_Common_QEndDate,0,COLUMN())&amp;",,,,0)")),"N/A")</f>
        <v>N/A</v>
      </c>
      <c r="AE793" s="453" t="str">
        <f ca="1">IFERROR(IF(INDEX(MO_Common_QEndDate,0,COLUMN())&gt;TODAY(),FDS(MO.ReportCurrency&amp;HP.TradeCurrency,"FG_PRICE(NOW)"),FDS(MO.ReportCurrency&amp;HP.TradeCurrency,"P_PRICE_AVG("&amp;INDEX(MO_SNA_FPStartDate,0,COLUMN())&amp;","&amp;INDEX(MO_Common_QEndDate,0,COLUMN())&amp;",,,,0)")),"N/A")</f>
        <v>N/A</v>
      </c>
      <c r="AF793" s="453" t="str">
        <f ca="1">IFERROR(IF(INDEX(MO_Common_QEndDate,0,COLUMN())&gt;TODAY(),FDS(MO.ReportCurrency&amp;HP.TradeCurrency,"FG_PRICE(NOW)"),FDS(MO.ReportCurrency&amp;HP.TradeCurrency,"P_PRICE_AVG("&amp;INDEX(MO_SNA_FPStartDate,0,COLUMN())&amp;","&amp;INDEX(MO_Common_QEndDate,0,COLUMN())&amp;",,,,0)")),"N/A")</f>
        <v>N/A</v>
      </c>
      <c r="AG793" s="453" t="str">
        <f ca="1">IFERROR(IF(INDEX(MO_Common_QEndDate,0,COLUMN())&gt;TODAY(),FDS(MO.ReportCurrency&amp;HP.TradeCurrency,"FG_PRICE(NOW)"),FDS(MO.ReportCurrency&amp;HP.TradeCurrency,"P_PRICE_AVG("&amp;INDEX(MO_SNA_FPStartDate,0,COLUMN())&amp;","&amp;INDEX(MO_Common_QEndDate,0,COLUMN())&amp;",,,,0)")),"N/A")</f>
        <v>N/A</v>
      </c>
      <c r="AH793" s="453" t="str">
        <f ca="1">IFERROR(IF(INDEX(MO_Common_QEndDate,0,COLUMN())&gt;TODAY(),FDS(MO.ReportCurrency&amp;HP.TradeCurrency,"FG_PRICE(NOW)"),FDS(MO.ReportCurrency&amp;HP.TradeCurrency,"P_PRICE_AVG("&amp;INDEX(MO_SNA_FPStartDate,0,COLUMN())&amp;","&amp;INDEX(MO_Common_QEndDate,0,COLUMN())&amp;",,,,0)")),"N/A")</f>
        <v>N/A</v>
      </c>
      <c r="AI793" s="453" t="str">
        <f ca="1">IFERROR(IF(INDEX(MO_Common_QEndDate,0,COLUMN())&gt;TODAY(),FDS(MO.ReportCurrency&amp;HP.TradeCurrency,"FG_PRICE(NOW)"),FDS(MO.ReportCurrency&amp;HP.TradeCurrency,"P_PRICE_AVG("&amp;INDEX(MO_SNA_FPStartDate,0,COLUMN())&amp;","&amp;INDEX(MO_Common_QEndDate,0,COLUMN())&amp;",,,,0)")),"N/A")</f>
        <v>N/A</v>
      </c>
      <c r="AJ793" s="453" t="str">
        <f ca="1">IFERROR(IF(INDEX(MO_Common_QEndDate,0,COLUMN())&gt;TODAY(),FDS(MO.ReportCurrency&amp;HP.TradeCurrency,"FG_PRICE(NOW)"),FDS(MO.ReportCurrency&amp;HP.TradeCurrency,"P_PRICE_AVG("&amp;INDEX(MO_SNA_FPStartDate,0,COLUMN())&amp;","&amp;INDEX(MO_Common_QEndDate,0,COLUMN())&amp;",,,,0)")),"N/A")</f>
        <v>N/A</v>
      </c>
      <c r="AK793" s="453" t="str">
        <f ca="1">IFERROR(IF(INDEX(MO_Common_QEndDate,0,COLUMN())&gt;TODAY(),FDS(MO.ReportCurrency&amp;HP.TradeCurrency,"FG_PRICE(NOW)"),FDS(MO.ReportCurrency&amp;HP.TradeCurrency,"P_PRICE_AVG("&amp;INDEX(MO_SNA_FPStartDate,0,COLUMN())&amp;","&amp;INDEX(MO_Common_QEndDate,0,COLUMN())&amp;",,,,0)")),"N/A")</f>
        <v>N/A</v>
      </c>
      <c r="AL793" s="453" t="str">
        <f ca="1">IFERROR(IF(INDEX(MO_Common_QEndDate,0,COLUMN())&gt;TODAY(),FDS(MO.ReportCurrency&amp;HP.TradeCurrency,"FG_PRICE(NOW)"),FDS(MO.ReportCurrency&amp;HP.TradeCurrency,"P_PRICE_AVG("&amp;INDEX(MO_SNA_FPStartDate,0,COLUMN())&amp;","&amp;INDEX(MO_Common_QEndDate,0,COLUMN())&amp;",,,,0)")),"N/A")</f>
        <v>N/A</v>
      </c>
      <c r="AM793" s="453" t="str">
        <f ca="1">IFERROR(IF(INDEX(MO_Common_QEndDate,0,COLUMN())&gt;TODAY(),FDS(MO.ReportCurrency&amp;HP.TradeCurrency,"FG_PRICE(NOW)"),FDS(MO.ReportCurrency&amp;HP.TradeCurrency,"P_PRICE_AVG("&amp;INDEX(MO_SNA_FPStartDate,0,COLUMN())&amp;","&amp;INDEX(MO_Common_QEndDate,0,COLUMN())&amp;",,,,0)")),"N/A")</f>
        <v>N/A</v>
      </c>
      <c r="AN793" s="453" t="str">
        <f ca="1">IFERROR(IF(INDEX(MO_Common_QEndDate,0,COLUMN())&gt;TODAY(),FDS(MO.ReportCurrency&amp;HP.TradeCurrency,"FG_PRICE(NOW)"),FDS(MO.ReportCurrency&amp;HP.TradeCurrency,"P_PRICE_AVG("&amp;INDEX(MO_SNA_FPStartDate,0,COLUMN())&amp;","&amp;INDEX(MO_Common_QEndDate,0,COLUMN())&amp;",,,,0)")),"N/A")</f>
        <v>N/A</v>
      </c>
      <c r="AO793" s="453" t="str">
        <f ca="1">IFERROR(IF(INDEX(MO_Common_QEndDate,0,COLUMN())&gt;TODAY(),FDS(MO.ReportCurrency&amp;HP.TradeCurrency,"FG_PRICE(NOW)"),FDS(MO.ReportCurrency&amp;HP.TradeCurrency,"P_PRICE_AVG("&amp;INDEX(MO_SNA_FPStartDate,0,COLUMN())&amp;","&amp;INDEX(MO_Common_QEndDate,0,COLUMN())&amp;",,,,0)")),"N/A")</f>
        <v>N/A</v>
      </c>
      <c r="AP793" s="453" t="str">
        <f ca="1">IFERROR(IF(INDEX(MO_Common_QEndDate,0,COLUMN())&gt;TODAY(),FDS(MO.ReportCurrency&amp;HP.TradeCurrency,"FG_PRICE(NOW)"),FDS(MO.ReportCurrency&amp;HP.TradeCurrency,"P_PRICE_AVG("&amp;INDEX(MO_SNA_FPStartDate,0,COLUMN())&amp;","&amp;INDEX(MO_Common_QEndDate,0,COLUMN())&amp;",,,,0)")),"N/A")</f>
        <v>N/A</v>
      </c>
      <c r="AQ793" s="453" t="str">
        <f ca="1">IFERROR(IF(INDEX(MO_Common_QEndDate,0,COLUMN())&gt;TODAY(),FDS(MO.ReportCurrency&amp;HP.TradeCurrency,"FG_PRICE(NOW)"),FDS(MO.ReportCurrency&amp;HP.TradeCurrency,"P_PRICE_AVG("&amp;INDEX(MO_SNA_FPStartDate,0,COLUMN())&amp;","&amp;INDEX(MO_Common_QEndDate,0,COLUMN())&amp;",,,,0)")),"N/A")</f>
        <v>N/A</v>
      </c>
      <c r="AR793" s="453" t="str">
        <f ca="1">IFERROR(IF(INDEX(MO_Common_QEndDate,0,COLUMN())&gt;TODAY(),FDS(MO.ReportCurrency&amp;HP.TradeCurrency,"FG_PRICE(NOW)"),FDS(MO.ReportCurrency&amp;HP.TradeCurrency,"P_PRICE_AVG("&amp;INDEX(MO_SNA_FPStartDate,0,COLUMN())&amp;","&amp;INDEX(MO_Common_QEndDate,0,COLUMN())&amp;",,,,0)")),"N/A")</f>
        <v>N/A</v>
      </c>
      <c r="AS793" s="453" t="str">
        <f ca="1">IFERROR(IF(INDEX(MO_Common_QEndDate,0,COLUMN())&gt;TODAY(),FDS(MO.ReportCurrency&amp;HP.TradeCurrency,"FG_PRICE(NOW)"),FDS(MO.ReportCurrency&amp;HP.TradeCurrency,"P_PRICE_AVG("&amp;INDEX(MO_SNA_FPStartDate,0,COLUMN())&amp;","&amp;INDEX(MO_Common_QEndDate,0,COLUMN())&amp;",,,,0)")),"N/A")</f>
        <v>N/A</v>
      </c>
      <c r="AT793" s="453" t="str">
        <f ca="1">IFERROR(IF(INDEX(MO_Common_QEndDate,0,COLUMN())&gt;TODAY(),FDS(MO.ReportCurrency&amp;HP.TradeCurrency,"FG_PRICE(NOW)"),FDS(MO.ReportCurrency&amp;HP.TradeCurrency,"P_PRICE_AVG("&amp;INDEX(MO_SNA_FPStartDate,0,COLUMN())&amp;","&amp;INDEX(MO_Common_QEndDate,0,COLUMN())&amp;",,,,0)")),"N/A")</f>
        <v>N/A</v>
      </c>
      <c r="AU793" s="453" t="str">
        <f ca="1">IFERROR(IF(INDEX(MO_Common_QEndDate,0,COLUMN())&gt;TODAY(),FDS(MO.ReportCurrency&amp;HP.TradeCurrency,"FG_PRICE(NOW)"),FDS(MO.ReportCurrency&amp;HP.TradeCurrency,"P_PRICE_AVG("&amp;INDEX(MO_SNA_FPStartDate,0,COLUMN())&amp;","&amp;INDEX(MO_Common_QEndDate,0,COLUMN())&amp;",,,,0)")),"N/A")</f>
        <v>N/A</v>
      </c>
      <c r="AV793" s="453" t="str">
        <f ca="1">IFERROR(IF(INDEX(MO_Common_QEndDate,0,COLUMN())&gt;TODAY(),FDS(MO.ReportCurrency&amp;HP.TradeCurrency,"FG_PRICE(NOW)"),FDS(MO.ReportCurrency&amp;HP.TradeCurrency,"P_PRICE_AVG("&amp;INDEX(MO_SNA_FPStartDate,0,COLUMN())&amp;","&amp;INDEX(MO_Common_QEndDate,0,COLUMN())&amp;",,,,0)")),"N/A")</f>
        <v>N/A</v>
      </c>
      <c r="AW793" s="605" t="str">
        <f ca="1">IFERROR(IF(INDEX(MO_Common_QEndDate,0,COLUMN())&gt;TODAY(),FDS(MO.ReportCurrency&amp;HP.TradeCurrency,"FG_PRICE(NOW)"),FDS(MO.ReportCurrency&amp;HP.TradeCurrency,"P_PRICE_AVG("&amp;INDEX(MO_SNA_FPStartDate,0,COLUMN())&amp;","&amp;INDEX(MO_Common_QEndDate,0,COLUMN())&amp;",,,,0)")),"N/A")</f>
        <v>N/A</v>
      </c>
      <c r="AX793" s="453" t="str">
        <f ca="1">IFERROR(IF(INDEX(MO_Common_QEndDate,0,COLUMN())&gt;TODAY(),FDS(MO.ReportCurrency&amp;HP.TradeCurrency,"FG_PRICE(NOW)"),FDS(MO.ReportCurrency&amp;HP.TradeCurrency,"P_PRICE_AVG("&amp;INDEX(MO_SNA_FPStartDate,0,COLUMN())&amp;","&amp;INDEX(MO_Common_QEndDate,0,COLUMN())&amp;",,,,0)")),"N/A")</f>
        <v>N/A</v>
      </c>
      <c r="AY793" s="453" t="str">
        <f ca="1">IFERROR(IF(INDEX(MO_Common_QEndDate,0,COLUMN())&gt;TODAY(),FDS(MO.ReportCurrency&amp;HP.TradeCurrency,"FG_PRICE(NOW)"),FDS(MO.ReportCurrency&amp;HP.TradeCurrency,"P_PRICE_AVG("&amp;INDEX(MO_SNA_FPStartDate,0,COLUMN())&amp;","&amp;INDEX(MO_Common_QEndDate,0,COLUMN())&amp;",,,,0)")),"N/A")</f>
        <v>N/A</v>
      </c>
      <c r="AZ793" s="453" t="str">
        <f ca="1">IFERROR(IF(INDEX(MO_Common_QEndDate,0,COLUMN())&gt;TODAY(),FDS(MO.ReportCurrency&amp;HP.TradeCurrency,"FG_PRICE(NOW)"),FDS(MO.ReportCurrency&amp;HP.TradeCurrency,"P_PRICE_AVG("&amp;INDEX(MO_SNA_FPStartDate,0,COLUMN())&amp;","&amp;INDEX(MO_Common_QEndDate,0,COLUMN())&amp;",,,,0)")),"N/A")</f>
        <v>N/A</v>
      </c>
      <c r="BA793" s="453" t="str">
        <f ca="1">IFERROR(IF(INDEX(MO_Common_QEndDate,0,COLUMN())&gt;TODAY(),FDS(MO.ReportCurrency&amp;HP.TradeCurrency,"FG_PRICE(NOW)"),FDS(MO.ReportCurrency&amp;HP.TradeCurrency,"P_PRICE_AVG("&amp;INDEX(MO_SNA_FPStartDate,0,COLUMN())&amp;","&amp;INDEX(MO_Common_QEndDate,0,COLUMN())&amp;",,,,0)")),"N/A")</f>
        <v>N/A</v>
      </c>
      <c r="BB793" s="453" t="str">
        <f ca="1">IFERROR(IF(INDEX(MO_Common_QEndDate,0,COLUMN())&gt;TODAY(),FDS(MO.ReportCurrency&amp;HP.TradeCurrency,"FG_PRICE(NOW)"),FDS(MO.ReportCurrency&amp;HP.TradeCurrency,"P_PRICE_AVG("&amp;INDEX(MO_SNA_FPStartDate,0,COLUMN())&amp;","&amp;INDEX(MO_Common_QEndDate,0,COLUMN())&amp;",,,,0)")),"N/A")</f>
        <v>N/A</v>
      </c>
      <c r="BC793" s="453" t="str">
        <f ca="1">IFERROR(IF(INDEX(MO_Common_QEndDate,0,COLUMN())&gt;TODAY(),FDS(MO.ReportCurrency&amp;HP.TradeCurrency,"FG_PRICE(NOW)"),FDS(MO.ReportCurrency&amp;HP.TradeCurrency,"P_PRICE_AVG("&amp;INDEX(MO_SNA_FPStartDate,0,COLUMN())&amp;","&amp;INDEX(MO_Common_QEndDate,0,COLUMN())&amp;",,,,0)")),"N/A")</f>
        <v>N/A</v>
      </c>
      <c r="BD793" s="453" t="str">
        <f ca="1">IFERROR(IF(INDEX(MO_Common_QEndDate,0,COLUMN())&gt;TODAY(),FDS(MO.ReportCurrency&amp;HP.TradeCurrency,"FG_PRICE(NOW)"),FDS(MO.ReportCurrency&amp;HP.TradeCurrency,"P_PRICE_AVG("&amp;INDEX(MO_SNA_FPStartDate,0,COLUMN())&amp;","&amp;INDEX(MO_Common_QEndDate,0,COLUMN())&amp;",,,,0)")),"N/A")</f>
        <v>N/A</v>
      </c>
      <c r="BE793" s="453" t="str">
        <f ca="1">IFERROR(IF(INDEX(MO_Common_QEndDate,0,COLUMN())&gt;TODAY(),FDS(MO.ReportCurrency&amp;HP.TradeCurrency,"FG_PRICE(NOW)"),FDS(MO.ReportCurrency&amp;HP.TradeCurrency,"P_PRICE_AVG("&amp;INDEX(MO_SNA_FPStartDate,0,COLUMN())&amp;","&amp;INDEX(MO_Common_QEndDate,0,COLUMN())&amp;",,,,0)")),"N/A")</f>
        <v>N/A</v>
      </c>
      <c r="BF793" s="453" t="str">
        <f ca="1">IFERROR(IF(INDEX(MO_Common_QEndDate,0,COLUMN())&gt;TODAY(),FDS(MO.ReportCurrency&amp;HP.TradeCurrency,"FG_PRICE(NOW)"),FDS(MO.ReportCurrency&amp;HP.TradeCurrency,"P_PRICE_AVG("&amp;INDEX(MO_SNA_FPStartDate,0,COLUMN())&amp;","&amp;INDEX(MO_Common_QEndDate,0,COLUMN())&amp;",,,,0)")),"N/A")</f>
        <v>N/A</v>
      </c>
      <c r="BG793" s="454" t="str">
        <f ca="1">IFERROR(IF(INDEX(MO_Common_QEndDate,0,COLUMN())&gt;TODAY(),FDS(MO.ReportCurrency&amp;HP.TradeCurrency,"FG_PRICE(NOW)"),FDS(MO.ReportCurrency&amp;HP.TradeCurrency,"P_PRICE_AVG("&amp;INDEX(MO_SNA_FPStartDate,0,COLUMN())&amp;","&amp;INDEX(MO_Common_QEndDate,0,COLUMN())&amp;",,,,0)")),"N/A")</f>
        <v>N/A</v>
      </c>
      <c r="BH793" s="308"/>
    </row>
    <row r="794" spans="1:60" customFormat="1" hidden="1" outlineLevel="1" x14ac:dyDescent="0.25">
      <c r="A794" s="309" t="s">
        <v>569</v>
      </c>
      <c r="B794" s="453"/>
      <c r="C794" s="452" t="str">
        <f t="shared" ref="C794:AH794" si="764">"N/A"</f>
        <v>N/A</v>
      </c>
      <c r="D794" s="452" t="str">
        <f t="shared" si="764"/>
        <v>N/A</v>
      </c>
      <c r="E794" s="453" t="str">
        <f t="shared" si="764"/>
        <v>N/A</v>
      </c>
      <c r="F794" s="453" t="str">
        <f t="shared" si="764"/>
        <v>N/A</v>
      </c>
      <c r="G794" s="453" t="str">
        <f t="shared" si="764"/>
        <v>N/A</v>
      </c>
      <c r="H794" s="453" t="str">
        <f t="shared" si="764"/>
        <v>N/A</v>
      </c>
      <c r="I794" s="453" t="str">
        <f t="shared" si="764"/>
        <v>N/A</v>
      </c>
      <c r="J794" s="453" t="str">
        <f t="shared" si="764"/>
        <v>N/A</v>
      </c>
      <c r="K794" s="453" t="str">
        <f t="shared" si="764"/>
        <v>N/A</v>
      </c>
      <c r="L794" s="453" t="str">
        <f t="shared" si="764"/>
        <v>N/A</v>
      </c>
      <c r="M794" s="453" t="str">
        <f t="shared" si="764"/>
        <v>N/A</v>
      </c>
      <c r="N794" s="453" t="str">
        <f t="shared" si="764"/>
        <v>N/A</v>
      </c>
      <c r="O794" s="453" t="str">
        <f t="shared" si="764"/>
        <v>N/A</v>
      </c>
      <c r="P794" s="453" t="str">
        <f t="shared" si="764"/>
        <v>N/A</v>
      </c>
      <c r="Q794" s="453" t="str">
        <f t="shared" si="764"/>
        <v>N/A</v>
      </c>
      <c r="R794" s="453" t="str">
        <f t="shared" si="764"/>
        <v>N/A</v>
      </c>
      <c r="S794" s="453" t="str">
        <f t="shared" si="764"/>
        <v>N/A</v>
      </c>
      <c r="T794" s="453" t="str">
        <f t="shared" si="764"/>
        <v>N/A</v>
      </c>
      <c r="U794" s="453" t="str">
        <f t="shared" si="764"/>
        <v>N/A</v>
      </c>
      <c r="V794" s="453" t="str">
        <f t="shared" si="764"/>
        <v>N/A</v>
      </c>
      <c r="W794" s="453" t="str">
        <f t="shared" si="764"/>
        <v>N/A</v>
      </c>
      <c r="X794" s="453" t="str">
        <f t="shared" si="764"/>
        <v>N/A</v>
      </c>
      <c r="Y794" s="453" t="str">
        <f t="shared" si="764"/>
        <v>N/A</v>
      </c>
      <c r="Z794" s="453" t="str">
        <f t="shared" si="764"/>
        <v>N/A</v>
      </c>
      <c r="AA794" s="453" t="str">
        <f t="shared" si="764"/>
        <v>N/A</v>
      </c>
      <c r="AB794" s="453" t="str">
        <f t="shared" si="764"/>
        <v>N/A</v>
      </c>
      <c r="AC794" s="453" t="str">
        <f t="shared" si="764"/>
        <v>N/A</v>
      </c>
      <c r="AD794" s="453" t="str">
        <f t="shared" si="764"/>
        <v>N/A</v>
      </c>
      <c r="AE794" s="453" t="str">
        <f t="shared" si="764"/>
        <v>N/A</v>
      </c>
      <c r="AF794" s="453" t="str">
        <f t="shared" si="764"/>
        <v>N/A</v>
      </c>
      <c r="AG794" s="453" t="str">
        <f t="shared" si="764"/>
        <v>N/A</v>
      </c>
      <c r="AH794" s="453" t="str">
        <f t="shared" si="764"/>
        <v>N/A</v>
      </c>
      <c r="AI794" s="453" t="str">
        <f t="shared" ref="AI794:BG794" si="765">"N/A"</f>
        <v>N/A</v>
      </c>
      <c r="AJ794" s="453" t="str">
        <f t="shared" si="765"/>
        <v>N/A</v>
      </c>
      <c r="AK794" s="453" t="str">
        <f t="shared" si="765"/>
        <v>N/A</v>
      </c>
      <c r="AL794" s="453" t="str">
        <f t="shared" si="765"/>
        <v>N/A</v>
      </c>
      <c r="AM794" s="453" t="str">
        <f t="shared" si="765"/>
        <v>N/A</v>
      </c>
      <c r="AN794" s="453" t="str">
        <f t="shared" si="765"/>
        <v>N/A</v>
      </c>
      <c r="AO794" s="453" t="str">
        <f t="shared" si="765"/>
        <v>N/A</v>
      </c>
      <c r="AP794" s="453" t="str">
        <f t="shared" si="765"/>
        <v>N/A</v>
      </c>
      <c r="AQ794" s="453" t="str">
        <f t="shared" si="765"/>
        <v>N/A</v>
      </c>
      <c r="AR794" s="453" t="str">
        <f t="shared" si="765"/>
        <v>N/A</v>
      </c>
      <c r="AS794" s="453" t="str">
        <f t="shared" si="765"/>
        <v>N/A</v>
      </c>
      <c r="AT794" s="453" t="str">
        <f t="shared" si="765"/>
        <v>N/A</v>
      </c>
      <c r="AU794" s="453" t="str">
        <f t="shared" si="765"/>
        <v>N/A</v>
      </c>
      <c r="AV794" s="453" t="str">
        <f t="shared" si="765"/>
        <v>N/A</v>
      </c>
      <c r="AW794" s="605" t="str">
        <f t="shared" si="765"/>
        <v>N/A</v>
      </c>
      <c r="AX794" s="453" t="str">
        <f t="shared" si="765"/>
        <v>N/A</v>
      </c>
      <c r="AY794" s="453" t="str">
        <f t="shared" si="765"/>
        <v>N/A</v>
      </c>
      <c r="AZ794" s="453" t="str">
        <f t="shared" si="765"/>
        <v>N/A</v>
      </c>
      <c r="BA794" s="453" t="str">
        <f t="shared" si="765"/>
        <v>N/A</v>
      </c>
      <c r="BB794" s="453" t="str">
        <f t="shared" si="765"/>
        <v>N/A</v>
      </c>
      <c r="BC794" s="453" t="str">
        <f t="shared" si="765"/>
        <v>N/A</v>
      </c>
      <c r="BD794" s="453" t="str">
        <f t="shared" si="765"/>
        <v>N/A</v>
      </c>
      <c r="BE794" s="453" t="str">
        <f t="shared" si="765"/>
        <v>N/A</v>
      </c>
      <c r="BF794" s="453" t="str">
        <f t="shared" si="765"/>
        <v>N/A</v>
      </c>
      <c r="BG794" s="454" t="str">
        <f t="shared" si="765"/>
        <v>N/A</v>
      </c>
      <c r="BH794" s="308"/>
    </row>
    <row r="795" spans="1:60" customFormat="1" collapsed="1" x14ac:dyDescent="0.25">
      <c r="A795" s="236"/>
      <c r="B795" s="831"/>
      <c r="C795" s="232"/>
      <c r="D795" s="232"/>
      <c r="E795" s="831"/>
      <c r="F795" s="831"/>
      <c r="G795" s="831"/>
      <c r="H795" s="831"/>
      <c r="I795" s="831"/>
      <c r="J795" s="831"/>
      <c r="K795" s="831"/>
      <c r="L795" s="831"/>
      <c r="M795" s="831"/>
      <c r="N795" s="831"/>
      <c r="O795" s="831"/>
      <c r="P795" s="831"/>
      <c r="Q795" s="831"/>
      <c r="R795" s="831"/>
      <c r="S795" s="831"/>
      <c r="T795" s="831"/>
      <c r="U795" s="831"/>
      <c r="V795" s="831"/>
      <c r="W795" s="831"/>
      <c r="X795" s="831"/>
      <c r="Y795" s="831"/>
      <c r="Z795" s="831"/>
      <c r="AA795" s="831"/>
      <c r="AB795" s="831"/>
      <c r="AC795" s="831"/>
      <c r="AD795" s="831"/>
      <c r="AE795" s="831"/>
      <c r="AF795" s="831"/>
      <c r="AG795" s="831"/>
      <c r="AH795" s="831"/>
      <c r="AI795" s="831"/>
      <c r="AJ795" s="831"/>
      <c r="AK795" s="831"/>
      <c r="AL795" s="831"/>
      <c r="AM795" s="831"/>
      <c r="AN795" s="831"/>
      <c r="AO795" s="831"/>
      <c r="AP795" s="831"/>
      <c r="AQ795" s="831"/>
      <c r="AR795" s="831"/>
      <c r="AS795" s="831"/>
      <c r="AT795" s="831"/>
      <c r="AU795" s="831"/>
      <c r="AV795" s="831"/>
      <c r="AW795" s="606"/>
      <c r="AX795" s="831"/>
      <c r="AY795" s="831"/>
      <c r="AZ795" s="831"/>
      <c r="BA795" s="831"/>
      <c r="BB795" s="831"/>
      <c r="BC795" s="831"/>
      <c r="BD795" s="831"/>
      <c r="BE795" s="831"/>
      <c r="BF795" s="831"/>
      <c r="BG795" s="234"/>
      <c r="BH795" s="821"/>
    </row>
    <row r="796" spans="1:60" customFormat="1" x14ac:dyDescent="0.25">
      <c r="A796" s="338"/>
      <c r="B796" s="339"/>
      <c r="C796" s="295"/>
      <c r="D796" s="295"/>
      <c r="E796" s="294"/>
      <c r="F796" s="294"/>
      <c r="G796" s="294"/>
      <c r="H796" s="294"/>
      <c r="I796" s="294"/>
      <c r="J796" s="294"/>
      <c r="K796" s="294"/>
      <c r="L796" s="294"/>
      <c r="M796" s="294"/>
      <c r="N796" s="294"/>
      <c r="O796" s="294"/>
      <c r="P796" s="294"/>
      <c r="Q796" s="294"/>
      <c r="R796" s="294"/>
      <c r="S796" s="294"/>
      <c r="T796" s="294"/>
      <c r="U796" s="294"/>
      <c r="V796" s="294"/>
      <c r="W796" s="294"/>
      <c r="X796" s="294"/>
      <c r="Y796" s="294"/>
      <c r="Z796" s="294"/>
      <c r="AA796" s="294"/>
      <c r="AB796" s="294"/>
      <c r="AC796" s="294"/>
      <c r="AD796" s="294"/>
      <c r="AE796" s="294"/>
      <c r="AF796" s="294"/>
      <c r="AG796" s="294"/>
      <c r="AH796" s="294"/>
      <c r="AI796" s="294"/>
      <c r="AJ796" s="294"/>
      <c r="AK796" s="294"/>
      <c r="AL796" s="294"/>
      <c r="AM796" s="294"/>
      <c r="AN796" s="294"/>
      <c r="AO796" s="294"/>
      <c r="AP796" s="294"/>
      <c r="AQ796" s="294"/>
      <c r="AR796" s="294"/>
      <c r="AS796" s="294"/>
      <c r="AT796" s="294"/>
      <c r="AU796" s="294"/>
      <c r="AV796" s="294"/>
      <c r="AW796" s="602"/>
      <c r="AX796" s="294"/>
      <c r="AY796" s="294"/>
      <c r="AZ796" s="294"/>
      <c r="BA796" s="294"/>
      <c r="BB796" s="294"/>
      <c r="BC796" s="294"/>
      <c r="BD796" s="294"/>
      <c r="BE796" s="294"/>
      <c r="BF796" s="294"/>
      <c r="BG796" s="294"/>
      <c r="BH796" s="821"/>
    </row>
    <row r="797" spans="1:60" customFormat="1" x14ac:dyDescent="0.25">
      <c r="A797" s="276" t="s">
        <v>265</v>
      </c>
      <c r="B797" s="294"/>
      <c r="C797" s="822"/>
      <c r="D797" s="822"/>
      <c r="E797" s="822"/>
      <c r="F797" s="822"/>
      <c r="G797" s="822"/>
      <c r="H797" s="822"/>
      <c r="I797" s="822"/>
      <c r="J797" s="822"/>
      <c r="K797" s="822"/>
      <c r="L797" s="822"/>
      <c r="M797" s="822"/>
      <c r="N797" s="822"/>
      <c r="O797" s="822"/>
      <c r="P797" s="822"/>
      <c r="Q797" s="822"/>
      <c r="R797" s="822"/>
      <c r="S797" s="822"/>
      <c r="T797" s="822"/>
      <c r="U797" s="822"/>
      <c r="V797" s="822"/>
      <c r="W797" s="822"/>
      <c r="X797" s="822"/>
      <c r="Y797" s="822"/>
      <c r="Z797" s="822"/>
      <c r="AA797" s="822"/>
      <c r="AB797" s="822"/>
      <c r="AC797" s="822"/>
      <c r="AD797" s="822"/>
      <c r="AE797" s="822"/>
      <c r="AF797" s="822"/>
      <c r="AG797" s="822"/>
      <c r="AH797" s="822"/>
      <c r="AI797" s="822"/>
      <c r="AJ797" s="822"/>
      <c r="AK797" s="822"/>
      <c r="AL797" s="822"/>
      <c r="AM797" s="822"/>
      <c r="AN797" s="822"/>
      <c r="AO797" s="822"/>
      <c r="AP797" s="822"/>
      <c r="AQ797" s="822"/>
      <c r="AR797" s="822"/>
      <c r="AS797" s="822"/>
      <c r="AT797" s="822"/>
      <c r="AU797" s="822"/>
      <c r="AV797" s="822"/>
      <c r="AW797" s="823"/>
      <c r="AX797" s="822"/>
      <c r="AY797" s="822"/>
      <c r="AZ797" s="822"/>
      <c r="BA797" s="822"/>
      <c r="BB797" s="822"/>
      <c r="BC797" s="822"/>
      <c r="BD797" s="822"/>
      <c r="BE797" s="822"/>
      <c r="BF797" s="822"/>
      <c r="BG797" s="822"/>
      <c r="BH797" s="821"/>
    </row>
    <row r="798" spans="1:60" customFormat="1" x14ac:dyDescent="0.25">
      <c r="A798" s="310" t="s">
        <v>266</v>
      </c>
      <c r="B798" s="303">
        <f>FP.LastPrice</f>
        <v>553.29</v>
      </c>
      <c r="C798" s="303"/>
      <c r="D798" s="303"/>
      <c r="E798" s="303"/>
      <c r="F798" s="303"/>
      <c r="G798" s="303"/>
      <c r="H798" s="303"/>
      <c r="I798" s="303"/>
      <c r="J798" s="303"/>
      <c r="K798" s="303"/>
      <c r="L798" s="303"/>
      <c r="M798" s="303"/>
      <c r="N798" s="303"/>
      <c r="O798" s="303"/>
      <c r="P798" s="303"/>
      <c r="Q798" s="303"/>
      <c r="R798" s="303"/>
      <c r="S798" s="303"/>
      <c r="T798" s="303"/>
      <c r="U798" s="303"/>
      <c r="V798" s="303"/>
      <c r="W798" s="303"/>
      <c r="X798" s="303"/>
      <c r="Y798" s="303"/>
      <c r="Z798" s="303"/>
      <c r="AA798" s="303"/>
      <c r="AB798" s="303"/>
      <c r="AC798" s="303"/>
      <c r="AD798" s="303"/>
      <c r="AE798" s="303"/>
      <c r="AF798" s="303"/>
      <c r="AG798" s="303"/>
      <c r="AH798" s="303"/>
      <c r="AI798" s="303"/>
      <c r="AJ798" s="303"/>
      <c r="AK798" s="303"/>
      <c r="AL798" s="303"/>
      <c r="AM798" s="303"/>
      <c r="AN798" s="303"/>
      <c r="AO798" s="303"/>
      <c r="AP798" s="303"/>
      <c r="AQ798" s="303"/>
      <c r="AR798" s="303"/>
      <c r="AS798" s="303"/>
      <c r="AT798" s="303"/>
      <c r="AU798" s="303"/>
      <c r="AV798" s="303"/>
      <c r="AW798" s="604"/>
      <c r="AX798" s="303"/>
      <c r="AY798" s="303"/>
      <c r="AZ798" s="303"/>
      <c r="BA798" s="303"/>
      <c r="BB798" s="303"/>
      <c r="BC798" s="303"/>
      <c r="BD798" s="303"/>
      <c r="BE798" s="303"/>
      <c r="BF798" s="303"/>
      <c r="BG798" s="303"/>
      <c r="BH798" s="277"/>
    </row>
    <row r="799" spans="1:60" customFormat="1" x14ac:dyDescent="0.25">
      <c r="A799" s="367" t="s">
        <v>267</v>
      </c>
      <c r="B799" s="632">
        <f>FP.LastPriceDate</f>
        <v>44567</v>
      </c>
      <c r="C799" s="479"/>
      <c r="D799" s="479"/>
      <c r="E799" s="479"/>
      <c r="F799" s="479"/>
      <c r="G799" s="479"/>
      <c r="H799" s="479"/>
      <c r="I799" s="479"/>
      <c r="J799" s="479"/>
      <c r="K799" s="479"/>
      <c r="L799" s="479"/>
      <c r="M799" s="479"/>
      <c r="N799" s="479"/>
      <c r="O799" s="479"/>
      <c r="P799" s="479"/>
      <c r="Q799" s="479"/>
      <c r="R799" s="479"/>
      <c r="S799" s="479"/>
      <c r="T799" s="479"/>
      <c r="U799" s="479"/>
      <c r="V799" s="479"/>
      <c r="W799" s="479"/>
      <c r="X799" s="479"/>
      <c r="Y799" s="479"/>
      <c r="Z799" s="479"/>
      <c r="AA799" s="479"/>
      <c r="AB799" s="479"/>
      <c r="AC799" s="479"/>
      <c r="AD799" s="479"/>
      <c r="AE799" s="479"/>
      <c r="AF799" s="479"/>
      <c r="AG799" s="479"/>
      <c r="AH799" s="479"/>
      <c r="AI799" s="479"/>
      <c r="AJ799" s="479"/>
      <c r="AK799" s="479"/>
      <c r="AL799" s="479"/>
      <c r="AM799" s="479"/>
      <c r="AN799" s="479"/>
      <c r="AO799" s="479"/>
      <c r="AP799" s="479"/>
      <c r="AQ799" s="479"/>
      <c r="AR799" s="479"/>
      <c r="AS799" s="479"/>
      <c r="AT799" s="479"/>
      <c r="AU799" s="479"/>
      <c r="AV799" s="479"/>
      <c r="AW799" s="590"/>
      <c r="AX799" s="479"/>
      <c r="AY799" s="479"/>
      <c r="AZ799" s="479"/>
      <c r="BA799" s="479"/>
      <c r="BB799" s="479"/>
      <c r="BC799" s="479"/>
      <c r="BD799" s="479"/>
      <c r="BE799" s="479"/>
      <c r="BF799" s="479"/>
      <c r="BG799" s="479"/>
      <c r="BH799" s="278"/>
    </row>
    <row r="800" spans="1:60" customFormat="1" x14ac:dyDescent="0.25">
      <c r="A800" s="367" t="s">
        <v>268</v>
      </c>
      <c r="B800" s="278" t="b">
        <f>IF(FP.RealTimeToggle="ON",TRUE,FALSE)</f>
        <v>0</v>
      </c>
      <c r="C800" s="479"/>
      <c r="D800" s="479"/>
      <c r="E800" s="479"/>
      <c r="F800" s="479"/>
      <c r="G800" s="479"/>
      <c r="H800" s="479"/>
      <c r="I800" s="479"/>
      <c r="J800" s="479"/>
      <c r="K800" s="479"/>
      <c r="L800" s="479"/>
      <c r="M800" s="479"/>
      <c r="N800" s="479"/>
      <c r="O800" s="479"/>
      <c r="P800" s="479"/>
      <c r="Q800" s="479"/>
      <c r="R800" s="479"/>
      <c r="S800" s="479"/>
      <c r="T800" s="479"/>
      <c r="U800" s="479"/>
      <c r="V800" s="479"/>
      <c r="W800" s="479"/>
      <c r="X800" s="479"/>
      <c r="Y800" s="479"/>
      <c r="Z800" s="479"/>
      <c r="AA800" s="479"/>
      <c r="AB800" s="479"/>
      <c r="AC800" s="479"/>
      <c r="AD800" s="479"/>
      <c r="AE800" s="479"/>
      <c r="AF800" s="479"/>
      <c r="AG800" s="479"/>
      <c r="AH800" s="479"/>
      <c r="AI800" s="479"/>
      <c r="AJ800" s="479"/>
      <c r="AK800" s="479"/>
      <c r="AL800" s="479"/>
      <c r="AM800" s="479"/>
      <c r="AN800" s="479"/>
      <c r="AO800" s="479"/>
      <c r="AP800" s="479"/>
      <c r="AQ800" s="479"/>
      <c r="AR800" s="479"/>
      <c r="AS800" s="479"/>
      <c r="AT800" s="479"/>
      <c r="AU800" s="479"/>
      <c r="AV800" s="479"/>
      <c r="AW800" s="590"/>
      <c r="AX800" s="479"/>
      <c r="AY800" s="479"/>
      <c r="AZ800" s="479"/>
      <c r="BA800" s="479"/>
      <c r="BB800" s="479"/>
      <c r="BC800" s="479"/>
      <c r="BD800" s="479"/>
      <c r="BE800" s="479"/>
      <c r="BF800" s="479"/>
      <c r="BG800" s="479"/>
      <c r="BH800" s="278"/>
    </row>
    <row r="801" spans="1:60" customFormat="1" x14ac:dyDescent="0.25">
      <c r="A801" s="310" t="s">
        <v>269</v>
      </c>
      <c r="B801" s="277" t="str">
        <f ca="1">IFERROR(CHOOSE(MO.DataSourceIndex,BDP(MO.Ticker.Bloomberg&amp;" EQUITY","LAST_PRICE"),CIQ(MO.Ticker.CapIQ,"IQ_LASTSALEPRICE"),FDS(MO.Ticker.FactSet,"FG_PRICE(NOW)"),_xll.TR(MO.Ticker.Thomson,"TRDPRC_1")),"N/A")</f>
        <v>N/A</v>
      </c>
      <c r="C801" s="303"/>
      <c r="D801" s="303"/>
      <c r="E801" s="303"/>
      <c r="F801" s="303"/>
      <c r="G801" s="303"/>
      <c r="H801" s="303"/>
      <c r="I801" s="303"/>
      <c r="J801" s="303"/>
      <c r="K801" s="303"/>
      <c r="L801" s="303"/>
      <c r="M801" s="303"/>
      <c r="N801" s="303"/>
      <c r="O801" s="303"/>
      <c r="P801" s="303"/>
      <c r="Q801" s="303"/>
      <c r="R801" s="303"/>
      <c r="S801" s="303"/>
      <c r="T801" s="303"/>
      <c r="U801" s="303"/>
      <c r="V801" s="303"/>
      <c r="W801" s="303"/>
      <c r="X801" s="303"/>
      <c r="Y801" s="303"/>
      <c r="Z801" s="303"/>
      <c r="AA801" s="303"/>
      <c r="AB801" s="303"/>
      <c r="AC801" s="303"/>
      <c r="AD801" s="303"/>
      <c r="AE801" s="303"/>
      <c r="AF801" s="303"/>
      <c r="AG801" s="303"/>
      <c r="AH801" s="303"/>
      <c r="AI801" s="303"/>
      <c r="AJ801" s="303"/>
      <c r="AK801" s="303"/>
      <c r="AL801" s="303"/>
      <c r="AM801" s="303"/>
      <c r="AN801" s="303"/>
      <c r="AO801" s="303"/>
      <c r="AP801" s="303"/>
      <c r="AQ801" s="303"/>
      <c r="AR801" s="303"/>
      <c r="AS801" s="303"/>
      <c r="AT801" s="303"/>
      <c r="AU801" s="303"/>
      <c r="AV801" s="303"/>
      <c r="AW801" s="604"/>
      <c r="AX801" s="303"/>
      <c r="AY801" s="303"/>
      <c r="AZ801" s="303"/>
      <c r="BA801" s="303"/>
      <c r="BB801" s="303"/>
      <c r="BC801" s="303"/>
      <c r="BD801" s="303"/>
      <c r="BE801" s="303"/>
      <c r="BF801" s="303"/>
      <c r="BG801" s="303"/>
      <c r="BH801" s="277"/>
    </row>
    <row r="802" spans="1:60" customFormat="1" x14ac:dyDescent="0.25">
      <c r="A802" s="310" t="s">
        <v>270</v>
      </c>
      <c r="B802" s="277" t="str">
        <f ca="1">IFERROR(CHOOSE(MO.DataSourceIndex,BDP(HP.Ticker&amp;" Equity","CRNCY"),CIQ(HP.Ticker,"IQ_TRADING_CURRENCY"),FDS(HP.Ticker,"P_CURRENCY(""ISO"")"),_xll.TR(HP.Ticker,"Currency")),HP.TradeCurrency.HardCoded)</f>
        <v>USD</v>
      </c>
      <c r="C802" s="303"/>
      <c r="D802" s="303"/>
      <c r="E802" s="303"/>
      <c r="F802" s="303"/>
      <c r="G802" s="303"/>
      <c r="H802" s="303"/>
      <c r="I802" s="303"/>
      <c r="J802" s="303"/>
      <c r="K802" s="303"/>
      <c r="L802" s="303"/>
      <c r="M802" s="303"/>
      <c r="N802" s="303"/>
      <c r="O802" s="303"/>
      <c r="P802" s="303"/>
      <c r="Q802" s="303"/>
      <c r="R802" s="303"/>
      <c r="S802" s="303"/>
      <c r="T802" s="303"/>
      <c r="U802" s="303"/>
      <c r="V802" s="303"/>
      <c r="W802" s="303"/>
      <c r="X802" s="303"/>
      <c r="Y802" s="303"/>
      <c r="Z802" s="303"/>
      <c r="AA802" s="303"/>
      <c r="AB802" s="303"/>
      <c r="AC802" s="303"/>
      <c r="AD802" s="303"/>
      <c r="AE802" s="303"/>
      <c r="AF802" s="303"/>
      <c r="AG802" s="303"/>
      <c r="AH802" s="303"/>
      <c r="AI802" s="303"/>
      <c r="AJ802" s="303"/>
      <c r="AK802" s="303"/>
      <c r="AL802" s="303"/>
      <c r="AM802" s="303"/>
      <c r="AN802" s="303"/>
      <c r="AO802" s="303"/>
      <c r="AP802" s="303"/>
      <c r="AQ802" s="303"/>
      <c r="AR802" s="303"/>
      <c r="AS802" s="303"/>
      <c r="AT802" s="303"/>
      <c r="AU802" s="303"/>
      <c r="AV802" s="303"/>
      <c r="AW802" s="604"/>
      <c r="AX802" s="303"/>
      <c r="AY802" s="303"/>
      <c r="AZ802" s="303"/>
      <c r="BA802" s="303"/>
      <c r="BB802" s="303"/>
      <c r="BC802" s="303"/>
      <c r="BD802" s="303"/>
      <c r="BE802" s="303"/>
      <c r="BF802" s="303"/>
      <c r="BG802" s="303"/>
      <c r="BH802" s="277"/>
    </row>
    <row r="803" spans="1:60" customFormat="1" x14ac:dyDescent="0.25">
      <c r="A803" s="310" t="s">
        <v>271</v>
      </c>
      <c r="B803" s="277" t="s">
        <v>11</v>
      </c>
      <c r="C803" s="303"/>
      <c r="D803" s="303"/>
      <c r="E803" s="303"/>
      <c r="F803" s="303"/>
      <c r="G803" s="303"/>
      <c r="H803" s="303"/>
      <c r="I803" s="303"/>
      <c r="J803" s="303"/>
      <c r="K803" s="303"/>
      <c r="L803" s="303"/>
      <c r="M803" s="303"/>
      <c r="N803" s="303"/>
      <c r="O803" s="303"/>
      <c r="P803" s="303"/>
      <c r="Q803" s="303"/>
      <c r="R803" s="303"/>
      <c r="S803" s="303"/>
      <c r="T803" s="303"/>
      <c r="U803" s="303"/>
      <c r="V803" s="303"/>
      <c r="W803" s="303"/>
      <c r="X803" s="303"/>
      <c r="Y803" s="303"/>
      <c r="Z803" s="303"/>
      <c r="AA803" s="303"/>
      <c r="AB803" s="303"/>
      <c r="AC803" s="303"/>
      <c r="AD803" s="303"/>
      <c r="AE803" s="303"/>
      <c r="AF803" s="303"/>
      <c r="AG803" s="303"/>
      <c r="AH803" s="303"/>
      <c r="AI803" s="303"/>
      <c r="AJ803" s="303"/>
      <c r="AK803" s="303"/>
      <c r="AL803" s="303"/>
      <c r="AM803" s="303"/>
      <c r="AN803" s="303"/>
      <c r="AO803" s="303"/>
      <c r="AP803" s="303"/>
      <c r="AQ803" s="303"/>
      <c r="AR803" s="303"/>
      <c r="AS803" s="303"/>
      <c r="AT803" s="303"/>
      <c r="AU803" s="303"/>
      <c r="AV803" s="303"/>
      <c r="AW803" s="604"/>
      <c r="AX803" s="303"/>
      <c r="AY803" s="303"/>
      <c r="AZ803" s="303"/>
      <c r="BA803" s="303"/>
      <c r="BB803" s="303"/>
      <c r="BC803" s="303"/>
      <c r="BD803" s="303"/>
      <c r="BE803" s="303"/>
      <c r="BF803" s="303"/>
      <c r="BG803" s="303"/>
      <c r="BH803" s="277"/>
    </row>
    <row r="804" spans="1:60" customFormat="1" x14ac:dyDescent="0.25">
      <c r="A804" s="310" t="s">
        <v>272</v>
      </c>
      <c r="B804" s="277" t="s">
        <v>11</v>
      </c>
      <c r="C804" s="303"/>
      <c r="D804" s="303"/>
      <c r="E804" s="303"/>
      <c r="F804" s="303"/>
      <c r="G804" s="303"/>
      <c r="H804" s="303"/>
      <c r="I804" s="303"/>
      <c r="J804" s="303"/>
      <c r="K804" s="303"/>
      <c r="L804" s="303"/>
      <c r="M804" s="303"/>
      <c r="N804" s="303"/>
      <c r="O804" s="303"/>
      <c r="P804" s="303"/>
      <c r="Q804" s="303"/>
      <c r="R804" s="303"/>
      <c r="S804" s="303"/>
      <c r="T804" s="303"/>
      <c r="U804" s="303"/>
      <c r="V804" s="303"/>
      <c r="W804" s="303"/>
      <c r="X804" s="303"/>
      <c r="Y804" s="303"/>
      <c r="Z804" s="303"/>
      <c r="AA804" s="303"/>
      <c r="AB804" s="303"/>
      <c r="AC804" s="303"/>
      <c r="AD804" s="303"/>
      <c r="AE804" s="303"/>
      <c r="AF804" s="303"/>
      <c r="AG804" s="303"/>
      <c r="AH804" s="303"/>
      <c r="AI804" s="303"/>
      <c r="AJ804" s="303"/>
      <c r="AK804" s="303"/>
      <c r="AL804" s="303"/>
      <c r="AM804" s="303"/>
      <c r="AN804" s="303"/>
      <c r="AO804" s="303"/>
      <c r="AP804" s="303"/>
      <c r="AQ804" s="303"/>
      <c r="AR804" s="303"/>
      <c r="AS804" s="303"/>
      <c r="AT804" s="303"/>
      <c r="AU804" s="303"/>
      <c r="AV804" s="303"/>
      <c r="AW804" s="604"/>
      <c r="AX804" s="303"/>
      <c r="AY804" s="303"/>
      <c r="AZ804" s="303"/>
      <c r="BA804" s="303"/>
      <c r="BB804" s="303"/>
      <c r="BC804" s="303"/>
      <c r="BD804" s="303"/>
      <c r="BE804" s="303"/>
      <c r="BF804" s="303"/>
      <c r="BG804" s="303"/>
      <c r="BH804" s="277"/>
    </row>
    <row r="805" spans="1:60" customFormat="1" x14ac:dyDescent="0.25">
      <c r="A805" s="310" t="s">
        <v>273</v>
      </c>
      <c r="B805" s="308">
        <f ca="1">IF(EXACT(MO.ReportFX,HP.TradeCurrency),1,IF(OR(INDEX(MO_SPT_FXAverage,1,MO.MRFPColumnNumber+1)="N/A",ISERROR(INDEX(MO_SPT_FXAverage,1,MO.MRFPColumnNumber+1))),MO.MRFX.Hardcoded,INDEX(MO_SPT_FXAverage,1,MO.MRFPColumnNumber+1)))</f>
        <v>1</v>
      </c>
      <c r="C805" s="303"/>
      <c r="D805" s="303"/>
      <c r="E805" s="303"/>
      <c r="F805" s="303"/>
      <c r="G805" s="303"/>
      <c r="H805" s="303"/>
      <c r="I805" s="303"/>
      <c r="J805" s="303"/>
      <c r="K805" s="303"/>
      <c r="L805" s="303"/>
      <c r="M805" s="303"/>
      <c r="N805" s="303"/>
      <c r="O805" s="303"/>
      <c r="P805" s="303"/>
      <c r="Q805" s="303"/>
      <c r="R805" s="303"/>
      <c r="S805" s="303"/>
      <c r="T805" s="303"/>
      <c r="U805" s="303"/>
      <c r="V805" s="303"/>
      <c r="W805" s="303"/>
      <c r="X805" s="303"/>
      <c r="Y805" s="303"/>
      <c r="Z805" s="303"/>
      <c r="AA805" s="303"/>
      <c r="AB805" s="303"/>
      <c r="AC805" s="303"/>
      <c r="AD805" s="303"/>
      <c r="AE805" s="303"/>
      <c r="AF805" s="303"/>
      <c r="AG805" s="303"/>
      <c r="AH805" s="303"/>
      <c r="AI805" s="303"/>
      <c r="AJ805" s="303"/>
      <c r="AK805" s="303"/>
      <c r="AL805" s="303"/>
      <c r="AM805" s="303"/>
      <c r="AN805" s="303"/>
      <c r="AO805" s="303"/>
      <c r="AP805" s="303"/>
      <c r="AQ805" s="303"/>
      <c r="AR805" s="303"/>
      <c r="AS805" s="303"/>
      <c r="AT805" s="303"/>
      <c r="AU805" s="303"/>
      <c r="AV805" s="303"/>
      <c r="AW805" s="604"/>
      <c r="AX805" s="303"/>
      <c r="AY805" s="303"/>
      <c r="AZ805" s="303"/>
      <c r="BA805" s="303"/>
      <c r="BB805" s="303"/>
      <c r="BC805" s="303"/>
      <c r="BD805" s="303"/>
      <c r="BE805" s="303"/>
      <c r="BF805" s="303"/>
      <c r="BG805" s="303"/>
      <c r="BH805" s="277"/>
    </row>
    <row r="806" spans="1:60" customFormat="1" x14ac:dyDescent="0.25">
      <c r="A806" s="310" t="s">
        <v>274</v>
      </c>
      <c r="B806" s="293">
        <v>1</v>
      </c>
      <c r="C806" s="303"/>
      <c r="D806" s="303"/>
      <c r="E806" s="303"/>
      <c r="F806" s="303"/>
      <c r="G806" s="303"/>
      <c r="H806" s="303"/>
      <c r="I806" s="303"/>
      <c r="J806" s="303"/>
      <c r="K806" s="303"/>
      <c r="L806" s="303"/>
      <c r="M806" s="303"/>
      <c r="N806" s="303"/>
      <c r="O806" s="303"/>
      <c r="P806" s="303"/>
      <c r="Q806" s="303"/>
      <c r="R806" s="303"/>
      <c r="S806" s="303"/>
      <c r="T806" s="303"/>
      <c r="U806" s="303"/>
      <c r="V806" s="303"/>
      <c r="W806" s="303"/>
      <c r="X806" s="303"/>
      <c r="Y806" s="303"/>
      <c r="Z806" s="303"/>
      <c r="AA806" s="303"/>
      <c r="AB806" s="303"/>
      <c r="AC806" s="303"/>
      <c r="AD806" s="303"/>
      <c r="AE806" s="303"/>
      <c r="AF806" s="303"/>
      <c r="AG806" s="303"/>
      <c r="AH806" s="303"/>
      <c r="AI806" s="303"/>
      <c r="AJ806" s="303"/>
      <c r="AK806" s="303"/>
      <c r="AL806" s="303"/>
      <c r="AM806" s="303"/>
      <c r="AN806" s="303"/>
      <c r="AO806" s="303"/>
      <c r="AP806" s="303"/>
      <c r="AQ806" s="303"/>
      <c r="AR806" s="303"/>
      <c r="AS806" s="303"/>
      <c r="AT806" s="303"/>
      <c r="AU806" s="303"/>
      <c r="AV806" s="303"/>
      <c r="AW806" s="604"/>
      <c r="AX806" s="303"/>
      <c r="AY806" s="303"/>
      <c r="AZ806" s="303"/>
      <c r="BA806" s="303"/>
      <c r="BB806" s="303"/>
      <c r="BC806" s="303"/>
      <c r="BD806" s="303"/>
      <c r="BE806" s="303"/>
      <c r="BF806" s="303"/>
      <c r="BG806" s="303"/>
      <c r="BH806" s="277"/>
    </row>
    <row r="807" spans="1:60" customFormat="1" x14ac:dyDescent="0.25">
      <c r="A807" s="279" t="s">
        <v>275</v>
      </c>
      <c r="B807" s="280">
        <f>MATCH(MO.MRFP,MO_Common_ColumnHeader,0)</f>
        <v>49</v>
      </c>
      <c r="C807" s="406"/>
      <c r="D807" s="406"/>
      <c r="E807" s="406"/>
      <c r="F807" s="406"/>
      <c r="G807" s="406"/>
      <c r="H807" s="406"/>
      <c r="I807" s="406"/>
      <c r="J807" s="406"/>
      <c r="K807" s="406"/>
      <c r="L807" s="406"/>
      <c r="M807" s="406"/>
      <c r="N807" s="406"/>
      <c r="O807" s="406"/>
      <c r="P807" s="406"/>
      <c r="Q807" s="406"/>
      <c r="R807" s="406"/>
      <c r="S807" s="406"/>
      <c r="T807" s="406"/>
      <c r="U807" s="406"/>
      <c r="V807" s="406"/>
      <c r="W807" s="406"/>
      <c r="X807" s="406"/>
      <c r="Y807" s="406"/>
      <c r="Z807" s="406"/>
      <c r="AA807" s="406"/>
      <c r="AB807" s="406"/>
      <c r="AC807" s="406"/>
      <c r="AD807" s="406"/>
      <c r="AE807" s="406"/>
      <c r="AF807" s="406"/>
      <c r="AG807" s="406"/>
      <c r="AH807" s="406"/>
      <c r="AI807" s="406"/>
      <c r="AJ807" s="406"/>
      <c r="AK807" s="406"/>
      <c r="AL807" s="406"/>
      <c r="AM807" s="406"/>
      <c r="AN807" s="406"/>
      <c r="AO807" s="406"/>
      <c r="AP807" s="406"/>
      <c r="AQ807" s="406"/>
      <c r="AR807" s="406"/>
      <c r="AS807" s="406"/>
      <c r="AT807" s="406"/>
      <c r="AU807" s="406"/>
      <c r="AV807" s="406"/>
      <c r="AW807" s="572"/>
      <c r="AX807" s="406"/>
      <c r="AY807" s="406"/>
      <c r="AZ807" s="406"/>
      <c r="BA807" s="406"/>
      <c r="BB807" s="406"/>
      <c r="BC807" s="406"/>
      <c r="BD807" s="406"/>
      <c r="BE807" s="406"/>
      <c r="BF807" s="406"/>
      <c r="BG807" s="406"/>
      <c r="BH807" s="280"/>
    </row>
    <row r="808" spans="1:60" customFormat="1" x14ac:dyDescent="0.25">
      <c r="A808" s="279" t="s">
        <v>276</v>
      </c>
      <c r="B808" s="280" t="s">
        <v>577</v>
      </c>
      <c r="C808" s="406"/>
      <c r="D808" s="406"/>
      <c r="E808" s="406"/>
      <c r="F808" s="406"/>
      <c r="G808" s="406"/>
      <c r="H808" s="406"/>
      <c r="I808" s="406"/>
      <c r="J808" s="406"/>
      <c r="K808" s="406"/>
      <c r="L808" s="406"/>
      <c r="M808" s="406"/>
      <c r="N808" s="406"/>
      <c r="O808" s="406"/>
      <c r="P808" s="406"/>
      <c r="Q808" s="406"/>
      <c r="R808" s="406"/>
      <c r="S808" s="406"/>
      <c r="T808" s="406"/>
      <c r="U808" s="406"/>
      <c r="V808" s="406"/>
      <c r="W808" s="406"/>
      <c r="X808" s="406"/>
      <c r="Y808" s="406"/>
      <c r="Z808" s="406"/>
      <c r="AA808" s="406"/>
      <c r="AB808" s="406"/>
      <c r="AC808" s="406"/>
      <c r="AD808" s="406"/>
      <c r="AE808" s="406"/>
      <c r="AF808" s="406"/>
      <c r="AG808" s="406"/>
      <c r="AH808" s="406"/>
      <c r="AI808" s="406"/>
      <c r="AJ808" s="406"/>
      <c r="AK808" s="406"/>
      <c r="AL808" s="406"/>
      <c r="AM808" s="406"/>
      <c r="AN808" s="406"/>
      <c r="AO808" s="406"/>
      <c r="AP808" s="406"/>
      <c r="AQ808" s="406"/>
      <c r="AR808" s="406"/>
      <c r="AS808" s="406"/>
      <c r="AT808" s="406"/>
      <c r="AU808" s="406"/>
      <c r="AV808" s="406"/>
      <c r="AW808" s="572"/>
      <c r="AX808" s="406"/>
      <c r="AY808" s="406"/>
      <c r="AZ808" s="406"/>
      <c r="BA808" s="406"/>
      <c r="BB808" s="406"/>
      <c r="BC808" s="406"/>
      <c r="BD808" s="406"/>
      <c r="BE808" s="406"/>
      <c r="BF808" s="406"/>
      <c r="BG808" s="406"/>
      <c r="BH808" s="280"/>
    </row>
    <row r="809" spans="1:60" customFormat="1" x14ac:dyDescent="0.25">
      <c r="A809" s="279" t="s">
        <v>277</v>
      </c>
      <c r="B809" s="280" t="str">
        <f>"FY"&amp;RIGHT(MO.MRFP,4)</f>
        <v>FY2021</v>
      </c>
      <c r="C809" s="406"/>
      <c r="D809" s="406"/>
      <c r="E809" s="406"/>
      <c r="F809" s="406"/>
      <c r="G809" s="406"/>
      <c r="H809" s="406"/>
      <c r="I809" s="406"/>
      <c r="J809" s="406"/>
      <c r="K809" s="406"/>
      <c r="L809" s="406"/>
      <c r="M809" s="406"/>
      <c r="N809" s="406"/>
      <c r="O809" s="406"/>
      <c r="P809" s="406"/>
      <c r="Q809" s="406"/>
      <c r="R809" s="406"/>
      <c r="S809" s="406"/>
      <c r="T809" s="406"/>
      <c r="U809" s="406"/>
      <c r="V809" s="406"/>
      <c r="W809" s="406"/>
      <c r="X809" s="406"/>
      <c r="Y809" s="406"/>
      <c r="Z809" s="406"/>
      <c r="AA809" s="406"/>
      <c r="AB809" s="406"/>
      <c r="AC809" s="406"/>
      <c r="AD809" s="406"/>
      <c r="AE809" s="406"/>
      <c r="AF809" s="406"/>
      <c r="AG809" s="406"/>
      <c r="AH809" s="406"/>
      <c r="AI809" s="406"/>
      <c r="AJ809" s="406"/>
      <c r="AK809" s="406"/>
      <c r="AL809" s="406"/>
      <c r="AM809" s="406"/>
      <c r="AN809" s="406"/>
      <c r="AO809" s="406"/>
      <c r="AP809" s="406"/>
      <c r="AQ809" s="406"/>
      <c r="AR809" s="406"/>
      <c r="AS809" s="406"/>
      <c r="AT809" s="406"/>
      <c r="AU809" s="406"/>
      <c r="AV809" s="406"/>
      <c r="AW809" s="572"/>
      <c r="AX809" s="406"/>
      <c r="AY809" s="406"/>
      <c r="AZ809" s="406"/>
      <c r="BA809" s="406"/>
      <c r="BB809" s="406"/>
      <c r="BC809" s="406"/>
      <c r="BD809" s="406"/>
      <c r="BE809" s="406"/>
      <c r="BF809" s="406"/>
      <c r="BG809" s="406"/>
      <c r="BH809" s="280"/>
    </row>
    <row r="810" spans="1:60" customFormat="1" x14ac:dyDescent="0.25">
      <c r="A810" s="279" t="s">
        <v>411</v>
      </c>
      <c r="B810" s="280" t="str">
        <f>"FY"&amp;RIGHT(MO.MRFP,4)+IF(LEFT(MO.MRFP,2)="FY",1,0)</f>
        <v>FY2021</v>
      </c>
      <c r="C810" s="406"/>
      <c r="D810" s="406"/>
      <c r="E810" s="406"/>
      <c r="F810" s="406"/>
      <c r="G810" s="406"/>
      <c r="H810" s="406"/>
      <c r="I810" s="406"/>
      <c r="J810" s="406"/>
      <c r="K810" s="406"/>
      <c r="L810" s="406"/>
      <c r="M810" s="406"/>
      <c r="N810" s="406"/>
      <c r="O810" s="406"/>
      <c r="P810" s="406"/>
      <c r="Q810" s="406"/>
      <c r="R810" s="406"/>
      <c r="S810" s="406"/>
      <c r="T810" s="406"/>
      <c r="U810" s="406"/>
      <c r="V810" s="406"/>
      <c r="W810" s="406"/>
      <c r="X810" s="406"/>
      <c r="Y810" s="406"/>
      <c r="Z810" s="406"/>
      <c r="AA810" s="406"/>
      <c r="AB810" s="406"/>
      <c r="AC810" s="406"/>
      <c r="AD810" s="406"/>
      <c r="AE810" s="406"/>
      <c r="AF810" s="406"/>
      <c r="AG810" s="406"/>
      <c r="AH810" s="406"/>
      <c r="AI810" s="406"/>
      <c r="AJ810" s="406"/>
      <c r="AK810" s="406"/>
      <c r="AL810" s="406"/>
      <c r="AM810" s="406"/>
      <c r="AN810" s="406"/>
      <c r="AO810" s="406"/>
      <c r="AP810" s="406"/>
      <c r="AQ810" s="406"/>
      <c r="AR810" s="406"/>
      <c r="AS810" s="406"/>
      <c r="AT810" s="406"/>
      <c r="AU810" s="406"/>
      <c r="AV810" s="406"/>
      <c r="AW810" s="572"/>
      <c r="AX810" s="406"/>
      <c r="AY810" s="406"/>
      <c r="AZ810" s="406"/>
      <c r="BA810" s="406"/>
      <c r="BB810" s="406"/>
      <c r="BC810" s="406"/>
      <c r="BD810" s="406"/>
      <c r="BE810" s="406"/>
      <c r="BF810" s="406"/>
      <c r="BG810" s="406"/>
      <c r="BH810" s="280"/>
    </row>
    <row r="811" spans="1:60" customFormat="1" x14ac:dyDescent="0.25">
      <c r="A811" s="281" t="s">
        <v>278</v>
      </c>
      <c r="B811" s="282">
        <f>IF(MO.DataSourceName="Bloomberg",1,IF(MO.DataSourceName="Capital IQ",2,IF(MO.DataSourceName="FactSet",3,IF(MO.DataSourceName="Refinitiv",4,1))))</f>
        <v>1</v>
      </c>
      <c r="C811" s="406"/>
      <c r="D811" s="406"/>
      <c r="E811" s="406"/>
      <c r="F811" s="406"/>
      <c r="G811" s="406"/>
      <c r="H811" s="406"/>
      <c r="I811" s="406"/>
      <c r="J811" s="406"/>
      <c r="K811" s="406"/>
      <c r="L811" s="406"/>
      <c r="M811" s="406"/>
      <c r="N811" s="406"/>
      <c r="O811" s="406"/>
      <c r="P811" s="406"/>
      <c r="Q811" s="406"/>
      <c r="R811" s="406"/>
      <c r="S811" s="406"/>
      <c r="T811" s="406"/>
      <c r="U811" s="406"/>
      <c r="V811" s="406"/>
      <c r="W811" s="406"/>
      <c r="X811" s="406"/>
      <c r="Y811" s="406"/>
      <c r="Z811" s="406"/>
      <c r="AA811" s="406"/>
      <c r="AB811" s="406"/>
      <c r="AC811" s="406"/>
      <c r="AD811" s="406"/>
      <c r="AE811" s="406"/>
      <c r="AF811" s="406"/>
      <c r="AG811" s="406"/>
      <c r="AH811" s="406"/>
      <c r="AI811" s="406"/>
      <c r="AJ811" s="406"/>
      <c r="AK811" s="406"/>
      <c r="AL811" s="406"/>
      <c r="AM811" s="406"/>
      <c r="AN811" s="406"/>
      <c r="AO811" s="406"/>
      <c r="AP811" s="406"/>
      <c r="AQ811" s="406"/>
      <c r="AR811" s="406"/>
      <c r="AS811" s="406"/>
      <c r="AT811" s="406"/>
      <c r="AU811" s="406"/>
      <c r="AV811" s="406"/>
      <c r="AW811" s="572"/>
      <c r="AX811" s="406"/>
      <c r="AY811" s="406"/>
      <c r="AZ811" s="406"/>
      <c r="BA811" s="406"/>
      <c r="BB811" s="406"/>
      <c r="BC811" s="406"/>
      <c r="BD811" s="406"/>
      <c r="BE811" s="406"/>
      <c r="BF811" s="406"/>
      <c r="BG811" s="406"/>
      <c r="BH811" s="280"/>
    </row>
    <row r="812" spans="1:60" customFormat="1" x14ac:dyDescent="0.25">
      <c r="A812" s="543"/>
      <c r="B812" s="543"/>
      <c r="C812" s="479"/>
      <c r="D812" s="479"/>
      <c r="E812" s="479"/>
      <c r="F812" s="479"/>
      <c r="G812" s="479"/>
      <c r="H812" s="479"/>
      <c r="I812" s="479"/>
      <c r="J812" s="479"/>
      <c r="K812" s="479"/>
      <c r="L812" s="479"/>
      <c r="M812" s="479"/>
      <c r="N812" s="479"/>
      <c r="O812" s="479"/>
      <c r="P812" s="479"/>
      <c r="Q812" s="479"/>
      <c r="R812" s="479"/>
      <c r="S812" s="479"/>
      <c r="T812" s="479"/>
      <c r="U812" s="479"/>
      <c r="V812" s="479"/>
      <c r="W812" s="479"/>
      <c r="X812" s="479"/>
      <c r="Y812" s="479"/>
      <c r="Z812" s="479"/>
      <c r="AA812" s="479"/>
      <c r="AB812" s="479"/>
      <c r="AC812" s="479"/>
      <c r="AD812" s="479"/>
      <c r="AE812" s="479"/>
      <c r="AF812" s="479"/>
      <c r="AG812" s="479"/>
      <c r="AH812" s="479"/>
      <c r="AI812" s="479"/>
      <c r="AJ812" s="479"/>
      <c r="AK812" s="479"/>
      <c r="AL812" s="479"/>
      <c r="AM812" s="479"/>
      <c r="AN812" s="479"/>
      <c r="AO812" s="479"/>
      <c r="AP812" s="479"/>
      <c r="AQ812" s="479"/>
      <c r="AR812" s="479"/>
      <c r="AS812" s="479"/>
      <c r="AT812" s="479"/>
      <c r="AU812" s="479"/>
      <c r="AV812" s="479"/>
      <c r="AW812" s="590"/>
      <c r="AX812" s="479"/>
      <c r="AY812" s="479"/>
      <c r="AZ812" s="479"/>
      <c r="BA812" s="479"/>
      <c r="BB812" s="479"/>
      <c r="BC812" s="479"/>
      <c r="BD812" s="479"/>
      <c r="BE812" s="479"/>
      <c r="BF812" s="479"/>
      <c r="BG812" s="479"/>
      <c r="BH812" s="278"/>
    </row>
    <row r="813" spans="1:60" customFormat="1" x14ac:dyDescent="0.25">
      <c r="A813" s="451" t="s">
        <v>564</v>
      </c>
      <c r="B813" s="283"/>
      <c r="C813" s="283"/>
      <c r="D813" s="283"/>
      <c r="E813" s="283"/>
      <c r="F813" s="283"/>
      <c r="G813" s="283"/>
      <c r="H813" s="283"/>
      <c r="I813" s="283"/>
      <c r="J813" s="283"/>
      <c r="K813" s="283"/>
      <c r="L813" s="283"/>
      <c r="M813" s="283"/>
      <c r="N813" s="283"/>
      <c r="O813" s="283"/>
      <c r="P813" s="283"/>
      <c r="Q813" s="283"/>
      <c r="R813" s="283"/>
      <c r="S813" s="283"/>
      <c r="T813" s="283"/>
      <c r="U813" s="283"/>
      <c r="V813" s="283"/>
      <c r="W813" s="283"/>
      <c r="X813" s="283"/>
      <c r="Y813" s="283"/>
      <c r="Z813" s="283"/>
      <c r="AA813" s="283"/>
      <c r="AB813" s="283"/>
      <c r="AC813" s="283"/>
      <c r="AD813" s="283"/>
      <c r="AE813" s="283"/>
      <c r="AF813" s="283"/>
      <c r="AG813" s="283"/>
      <c r="AH813" s="283"/>
      <c r="AI813" s="283"/>
      <c r="AJ813" s="283"/>
      <c r="AK813" s="283"/>
      <c r="AL813" s="283"/>
      <c r="AM813" s="283"/>
      <c r="AN813" s="283"/>
      <c r="AO813" s="283"/>
      <c r="AP813" s="283"/>
      <c r="AQ813" s="283"/>
      <c r="AR813" s="283"/>
      <c r="AS813" s="283"/>
      <c r="AT813" s="283"/>
      <c r="AU813" s="283"/>
      <c r="AV813" s="283"/>
      <c r="AW813" s="283"/>
      <c r="AX813" s="283"/>
      <c r="AY813" s="283"/>
      <c r="AZ813" s="283"/>
      <c r="BA813" s="283"/>
      <c r="BB813" s="283"/>
      <c r="BC813" s="283"/>
      <c r="BD813" s="283"/>
      <c r="BE813" s="283"/>
      <c r="BF813" s="283"/>
      <c r="BG813" s="283"/>
      <c r="BH813" s="278"/>
    </row>
    <row r="814" spans="1:60" customFormat="1" x14ac:dyDescent="0.25">
      <c r="A814" s="278"/>
      <c r="B814" s="278"/>
      <c r="C814" s="278"/>
      <c r="D814" s="278"/>
      <c r="E814" s="278"/>
      <c r="F814" s="278"/>
      <c r="G814" s="278"/>
      <c r="H814" s="278"/>
      <c r="I814" s="278"/>
      <c r="J814" s="278"/>
      <c r="K814" s="278"/>
      <c r="L814" s="278"/>
      <c r="M814" s="278"/>
      <c r="N814" s="278"/>
      <c r="O814" s="278"/>
      <c r="P814" s="278"/>
      <c r="Q814" s="278"/>
      <c r="R814" s="278"/>
      <c r="S814" s="278"/>
      <c r="T814" s="278"/>
      <c r="U814" s="278"/>
      <c r="V814" s="278"/>
      <c r="W814" s="278"/>
      <c r="X814" s="278"/>
      <c r="Y814" s="278"/>
      <c r="Z814" s="278"/>
      <c r="AA814" s="278"/>
      <c r="AB814" s="278"/>
      <c r="AC814" s="278"/>
      <c r="AD814" s="278"/>
      <c r="AE814" s="278"/>
      <c r="AF814" s="278"/>
      <c r="AG814" s="278"/>
      <c r="AH814" s="278"/>
      <c r="AI814" s="278"/>
      <c r="AJ814" s="278"/>
      <c r="AK814" s="278"/>
      <c r="AL814" s="278"/>
      <c r="AM814" s="278"/>
      <c r="AN814" s="278"/>
      <c r="AO814" s="278"/>
      <c r="AP814" s="278"/>
      <c r="AQ814" s="278"/>
      <c r="AR814" s="278"/>
      <c r="AS814" s="278"/>
      <c r="AT814" s="278"/>
      <c r="AU814" s="278"/>
      <c r="AV814" s="278"/>
      <c r="AW814" s="278"/>
      <c r="AX814" s="278"/>
      <c r="AY814" s="278"/>
      <c r="AZ814" s="278"/>
      <c r="BA814" s="278"/>
      <c r="BB814" s="278"/>
      <c r="BC814" s="278"/>
      <c r="BD814" s="278"/>
      <c r="BE814" s="278"/>
      <c r="BF814" s="278"/>
      <c r="BG814" s="278"/>
      <c r="BH814" s="278"/>
    </row>
  </sheetData>
  <conditionalFormatting sqref="C351:BG351">
    <cfRule type="cellIs" dxfId="9" priority="502" operator="equal">
      <formula>0</formula>
    </cfRule>
  </conditionalFormatting>
  <conditionalFormatting sqref="C351:BG351">
    <cfRule type="cellIs" dxfId="8" priority="503" operator="notEqual">
      <formula>0</formula>
    </cfRule>
  </conditionalFormatting>
  <conditionalFormatting sqref="C613:BG613">
    <cfRule type="cellIs" dxfId="7" priority="504" operator="equal">
      <formula>0</formula>
    </cfRule>
  </conditionalFormatting>
  <conditionalFormatting sqref="C613:BG613">
    <cfRule type="cellIs" dxfId="6" priority="505" operator="notEqual">
      <formula>0</formula>
    </cfRule>
  </conditionalFormatting>
  <conditionalFormatting sqref="C707:BG707">
    <cfRule type="cellIs" dxfId="5" priority="506" operator="equal">
      <formula>0</formula>
    </cfRule>
  </conditionalFormatting>
  <conditionalFormatting sqref="C707:BG707">
    <cfRule type="cellIs" dxfId="4" priority="507" operator="notEqual">
      <formula>0</formula>
    </cfRule>
  </conditionalFormatting>
  <conditionalFormatting sqref="C710:BG729">
    <cfRule type="cellIs" dxfId="3" priority="508" operator="equal">
      <formula>0</formula>
    </cfRule>
  </conditionalFormatting>
  <conditionalFormatting sqref="C710:BG729">
    <cfRule type="cellIs" dxfId="2" priority="509" operator="notEqual">
      <formula>0</formula>
    </cfRule>
  </conditionalFormatting>
  <dataValidations count="1">
    <dataValidation type="list" allowBlank="1" showInputMessage="1" showErrorMessage="1" sqref="B472" xr:uid="{00000000-0002-0000-0100-000000000000}">
      <formula1>$A$740:$A$742</formula1>
    </dataValidation>
  </dataValidations>
  <hyperlinks>
    <hyperlink ref="A1" r:id="rId1" xr:uid="{00000000-0004-0000-0100-000000000000}"/>
  </hyperlinks>
  <pageMargins left="0" right="0" top="0.39370078740157499" bottom="0" header="0.196850393700787" footer="0"/>
  <pageSetup scale="21" fitToHeight="0" orientation="landscape" r:id="rId2"/>
  <headerFooter>
    <oddHeader>&amp;CNetflix, Inc.&amp;RPage &amp;P</oddHead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33EB0-7152-457F-A1E3-4A2CF515B9EE}">
  <dimension ref="A1:BH92"/>
  <sheetViews>
    <sheetView zoomScale="85" zoomScaleNormal="85" workbookViewId="0">
      <pane xSplit="2" ySplit="5" topLeftCell="C6" activePane="bottomRight" state="frozen"/>
      <selection pane="topRight" activeCell="C1" sqref="C1"/>
      <selection pane="bottomLeft" activeCell="A6" sqref="A6"/>
      <selection pane="bottomRight"/>
    </sheetView>
  </sheetViews>
  <sheetFormatPr defaultColWidth="8.85546875" defaultRowHeight="14.45" customHeight="1" outlineLevelCol="1" x14ac:dyDescent="0.25"/>
  <cols>
    <col min="1" max="1" width="46.7109375" style="711" customWidth="1"/>
    <col min="2" max="2" width="9.7109375" style="711" customWidth="1"/>
    <col min="3" max="3" width="10.28515625" style="711" bestFit="1" customWidth="1"/>
    <col min="4" max="4" width="8.85546875" style="711" customWidth="1"/>
    <col min="5" max="6" width="8.85546875" style="711"/>
    <col min="7" max="10" width="8.85546875" hidden="1" customWidth="1" outlineLevel="1"/>
    <col min="11" max="11" width="8.85546875" style="711" collapsed="1"/>
    <col min="12" max="15" width="8.85546875" hidden="1" customWidth="1" outlineLevel="1"/>
    <col min="16" max="16" width="8.85546875" style="711" collapsed="1"/>
    <col min="17" max="20" width="8.85546875" hidden="1" customWidth="1" outlineLevel="1"/>
    <col min="21" max="21" width="8.85546875" style="711" collapsed="1"/>
    <col min="22" max="25" width="8.85546875" hidden="1" customWidth="1" outlineLevel="1"/>
    <col min="26" max="26" width="8.85546875" style="711" collapsed="1"/>
    <col min="27" max="30" width="8.85546875" hidden="1" customWidth="1" outlineLevel="1"/>
    <col min="31" max="31" width="8.85546875" style="711" collapsed="1"/>
    <col min="32" max="35" width="8.85546875" hidden="1" customWidth="1" outlineLevel="1"/>
    <col min="36" max="36" width="8.85546875" style="711" collapsed="1"/>
    <col min="37" max="40" width="8.85546875" hidden="1" customWidth="1" outlineLevel="1"/>
    <col min="41" max="41" width="8.85546875" style="711" collapsed="1"/>
    <col min="42" max="45" width="8.85546875" customWidth="1" outlineLevel="1"/>
    <col min="46" max="46" width="8.85546875" style="711"/>
    <col min="47" max="50" width="8.85546875" customWidth="1" outlineLevel="1"/>
    <col min="51" max="51" width="8.85546875" style="711"/>
    <col min="52" max="55" width="8.85546875" customWidth="1" outlineLevel="1"/>
    <col min="56" max="16384" width="8.85546875" style="711"/>
  </cols>
  <sheetData>
    <row r="1" spans="1:60" s="695" customFormat="1" ht="28.5" customHeight="1" x14ac:dyDescent="0.45">
      <c r="A1" s="696" t="str">
        <f>MO.CompanyName</f>
        <v>Netflix, Inc.</v>
      </c>
      <c r="B1" s="717"/>
      <c r="C1" s="841"/>
      <c r="D1" s="841"/>
      <c r="E1" s="841"/>
      <c r="F1" s="841"/>
      <c r="G1" s="841"/>
      <c r="H1" s="841"/>
      <c r="I1" s="841"/>
      <c r="J1" s="841"/>
      <c r="K1" s="841"/>
      <c r="L1" s="841"/>
      <c r="M1" s="841"/>
      <c r="N1" s="841"/>
      <c r="O1" s="841"/>
      <c r="P1" s="841"/>
      <c r="Q1" s="841"/>
      <c r="R1" s="841"/>
      <c r="S1" s="841"/>
      <c r="T1" s="841"/>
      <c r="U1" s="841"/>
      <c r="V1" s="841"/>
      <c r="W1" s="841"/>
      <c r="X1" s="841"/>
      <c r="Y1" s="841"/>
      <c r="Z1" s="841"/>
      <c r="AA1" s="841"/>
      <c r="AB1" s="841"/>
      <c r="AC1" s="841"/>
      <c r="AD1" s="841"/>
      <c r="AE1" s="841"/>
      <c r="AF1" s="841"/>
      <c r="AG1" s="841"/>
      <c r="AH1" s="841"/>
      <c r="AI1" s="841"/>
      <c r="AJ1" s="841"/>
      <c r="AK1" s="841"/>
      <c r="AL1" s="841"/>
      <c r="AM1" s="841"/>
      <c r="AN1" s="841"/>
      <c r="AO1" s="841"/>
      <c r="AP1" s="841"/>
      <c r="AQ1" s="841"/>
      <c r="AR1" s="841"/>
      <c r="AS1" s="841"/>
      <c r="AT1" s="841"/>
      <c r="AU1" s="841"/>
      <c r="AV1" s="841"/>
      <c r="AW1" s="842"/>
      <c r="AX1" s="697"/>
      <c r="AY1" s="697"/>
      <c r="AZ1" s="697"/>
      <c r="BA1" s="697"/>
      <c r="BB1" s="697"/>
      <c r="BC1" s="697"/>
      <c r="BD1" s="697"/>
      <c r="BE1" s="697"/>
      <c r="BF1" s="697"/>
      <c r="BG1" s="697"/>
      <c r="BH1" s="712"/>
    </row>
    <row r="2" spans="1:60" s="695" customFormat="1" ht="15" customHeight="1" x14ac:dyDescent="0.25">
      <c r="A2" s="698" t="str">
        <f>MO.Ticker</f>
        <v>NFLX US</v>
      </c>
      <c r="B2" s="699"/>
      <c r="C2" s="724">
        <f>Model!C2</f>
        <v>39813</v>
      </c>
      <c r="D2" s="724">
        <f>Model!D2</f>
        <v>0</v>
      </c>
      <c r="E2" s="724">
        <f>Model!E2</f>
        <v>0</v>
      </c>
      <c r="F2" s="724">
        <f>Model!F2</f>
        <v>0</v>
      </c>
      <c r="G2" s="724">
        <f>Model!G2</f>
        <v>0</v>
      </c>
      <c r="H2" s="724">
        <f>Model!H2</f>
        <v>0</v>
      </c>
      <c r="I2" s="724">
        <f>Model!I2</f>
        <v>0</v>
      </c>
      <c r="J2" s="724">
        <f>Model!J2</f>
        <v>0</v>
      </c>
      <c r="K2" s="724">
        <f>Model!K2</f>
        <v>0</v>
      </c>
      <c r="L2" s="724">
        <f>Model!L2</f>
        <v>0</v>
      </c>
      <c r="M2" s="724">
        <f>Model!M2</f>
        <v>0</v>
      </c>
      <c r="N2" s="724">
        <f>Model!N2</f>
        <v>0</v>
      </c>
      <c r="O2" s="724">
        <f>Model!O2</f>
        <v>0</v>
      </c>
      <c r="P2" s="724">
        <f>Model!P2</f>
        <v>0</v>
      </c>
      <c r="Q2" s="724">
        <f>Model!Q2</f>
        <v>0</v>
      </c>
      <c r="R2" s="724">
        <f>Model!R2</f>
        <v>0</v>
      </c>
      <c r="S2" s="724">
        <f>Model!S2</f>
        <v>0</v>
      </c>
      <c r="T2" s="724">
        <f>Model!T2</f>
        <v>0</v>
      </c>
      <c r="U2" s="724">
        <f>Model!U2</f>
        <v>0</v>
      </c>
      <c r="V2" s="724">
        <f>Model!V2</f>
        <v>0</v>
      </c>
      <c r="W2" s="724">
        <f>Model!W2</f>
        <v>0</v>
      </c>
      <c r="X2" s="724">
        <f>Model!X2</f>
        <v>0</v>
      </c>
      <c r="Y2" s="724">
        <f>Model!Y2</f>
        <v>0</v>
      </c>
      <c r="Z2" s="724">
        <f>Model!Z2</f>
        <v>0</v>
      </c>
      <c r="AA2" s="724">
        <f>Model!AA2</f>
        <v>0</v>
      </c>
      <c r="AB2" s="724">
        <f>Model!AB2</f>
        <v>0</v>
      </c>
      <c r="AC2" s="724">
        <f>Model!AC2</f>
        <v>0</v>
      </c>
      <c r="AD2" s="724">
        <f>Model!AD2</f>
        <v>0</v>
      </c>
      <c r="AE2" s="724">
        <f>Model!AE2</f>
        <v>0</v>
      </c>
      <c r="AF2" s="724">
        <f>Model!AF2</f>
        <v>0</v>
      </c>
      <c r="AG2" s="724">
        <f>Model!AG2</f>
        <v>0</v>
      </c>
      <c r="AH2" s="724">
        <f>Model!AH2</f>
        <v>0</v>
      </c>
      <c r="AI2" s="724">
        <f>Model!AI2</f>
        <v>0</v>
      </c>
      <c r="AJ2" s="724">
        <f>Model!AJ2</f>
        <v>0</v>
      </c>
      <c r="AK2" s="724">
        <f>Model!AK2</f>
        <v>0</v>
      </c>
      <c r="AL2" s="724">
        <f>Model!AL2</f>
        <v>0</v>
      </c>
      <c r="AM2" s="724">
        <f>Model!AM2</f>
        <v>0</v>
      </c>
      <c r="AN2" s="724">
        <f>Model!AN2</f>
        <v>0</v>
      </c>
      <c r="AO2" s="724">
        <f>Model!AO2</f>
        <v>0</v>
      </c>
      <c r="AP2" s="724">
        <f>Model!AP2</f>
        <v>0</v>
      </c>
      <c r="AQ2" s="724">
        <f>Model!AQ2</f>
        <v>0</v>
      </c>
      <c r="AR2" s="724">
        <f>Model!AR2</f>
        <v>0</v>
      </c>
      <c r="AS2" s="724">
        <f>Model!AS2</f>
        <v>0</v>
      </c>
      <c r="AT2" s="724">
        <f>Model!AT2</f>
        <v>0</v>
      </c>
      <c r="AU2" s="724">
        <f>Model!AU2</f>
        <v>0</v>
      </c>
      <c r="AV2" s="724">
        <f>Model!AV2</f>
        <v>0</v>
      </c>
      <c r="AW2" s="731">
        <f>Model!AW2</f>
        <v>0</v>
      </c>
      <c r="AX2" s="700">
        <f>Model!AX2</f>
        <v>0</v>
      </c>
      <c r="AY2" s="700">
        <f>Model!AY2</f>
        <v>0</v>
      </c>
      <c r="AZ2" s="700">
        <f>Model!AZ2</f>
        <v>0</v>
      </c>
      <c r="BA2" s="700">
        <f>Model!BA2</f>
        <v>0</v>
      </c>
      <c r="BB2" s="700">
        <f>Model!BB2</f>
        <v>0</v>
      </c>
      <c r="BC2" s="700">
        <f>Model!BC2</f>
        <v>0</v>
      </c>
      <c r="BD2" s="700">
        <f>Model!BD2</f>
        <v>0</v>
      </c>
      <c r="BE2" s="700">
        <f>Model!BE2</f>
        <v>0</v>
      </c>
      <c r="BF2" s="700">
        <f>Model!BF2</f>
        <v>0</v>
      </c>
      <c r="BG2" s="700">
        <f>Model!BG2</f>
        <v>0</v>
      </c>
      <c r="BH2" s="712"/>
    </row>
    <row r="3" spans="1:60" s="695" customFormat="1" ht="15" customHeight="1" x14ac:dyDescent="0.25">
      <c r="A3" s="701" t="str">
        <f ca="1">MO.TradingCurrency</f>
        <v>USD</v>
      </c>
      <c r="B3" s="702">
        <f ca="1">MO.LastPrice</f>
        <v>553.29</v>
      </c>
      <c r="C3" s="725">
        <f t="shared" ref="C3:AH3" si="0">INDEX(MO_Common_FPDays,0,MATCH(C$5,MO_Common_ColumnHeader,0))</f>
        <v>365</v>
      </c>
      <c r="D3" s="725">
        <f t="shared" si="0"/>
        <v>365</v>
      </c>
      <c r="E3" s="725">
        <f t="shared" si="0"/>
        <v>365</v>
      </c>
      <c r="F3" s="725">
        <f t="shared" si="0"/>
        <v>366</v>
      </c>
      <c r="G3" s="726">
        <f t="shared" si="0"/>
        <v>90</v>
      </c>
      <c r="H3" s="726">
        <f t="shared" si="0"/>
        <v>91</v>
      </c>
      <c r="I3" s="726">
        <f t="shared" si="0"/>
        <v>92</v>
      </c>
      <c r="J3" s="726">
        <f t="shared" si="0"/>
        <v>92</v>
      </c>
      <c r="K3" s="725">
        <f t="shared" si="0"/>
        <v>365</v>
      </c>
      <c r="L3" s="726">
        <f t="shared" si="0"/>
        <v>90</v>
      </c>
      <c r="M3" s="726">
        <f t="shared" si="0"/>
        <v>91</v>
      </c>
      <c r="N3" s="726">
        <f t="shared" si="0"/>
        <v>92</v>
      </c>
      <c r="O3" s="726">
        <f t="shared" si="0"/>
        <v>92</v>
      </c>
      <c r="P3" s="725">
        <f t="shared" si="0"/>
        <v>365</v>
      </c>
      <c r="Q3" s="726">
        <f t="shared" si="0"/>
        <v>90</v>
      </c>
      <c r="R3" s="726">
        <f t="shared" si="0"/>
        <v>91</v>
      </c>
      <c r="S3" s="726">
        <f t="shared" si="0"/>
        <v>92</v>
      </c>
      <c r="T3" s="726">
        <f t="shared" si="0"/>
        <v>92</v>
      </c>
      <c r="U3" s="725">
        <f t="shared" si="0"/>
        <v>365</v>
      </c>
      <c r="V3" s="726">
        <f t="shared" si="0"/>
        <v>91</v>
      </c>
      <c r="W3" s="726">
        <f t="shared" si="0"/>
        <v>91</v>
      </c>
      <c r="X3" s="726">
        <f t="shared" si="0"/>
        <v>92</v>
      </c>
      <c r="Y3" s="726">
        <f t="shared" si="0"/>
        <v>92</v>
      </c>
      <c r="Z3" s="725">
        <f t="shared" si="0"/>
        <v>366</v>
      </c>
      <c r="AA3" s="726">
        <f t="shared" si="0"/>
        <v>90</v>
      </c>
      <c r="AB3" s="726">
        <f t="shared" si="0"/>
        <v>91</v>
      </c>
      <c r="AC3" s="726">
        <f t="shared" si="0"/>
        <v>92</v>
      </c>
      <c r="AD3" s="726">
        <f t="shared" si="0"/>
        <v>92</v>
      </c>
      <c r="AE3" s="725">
        <f t="shared" si="0"/>
        <v>365</v>
      </c>
      <c r="AF3" s="726">
        <f t="shared" si="0"/>
        <v>90</v>
      </c>
      <c r="AG3" s="726">
        <f t="shared" si="0"/>
        <v>91</v>
      </c>
      <c r="AH3" s="726">
        <f t="shared" si="0"/>
        <v>92</v>
      </c>
      <c r="AI3" s="726">
        <f t="shared" ref="AI3:BG3" si="1">INDEX(MO_Common_FPDays,0,MATCH(AI$5,MO_Common_ColumnHeader,0))</f>
        <v>92</v>
      </c>
      <c r="AJ3" s="725">
        <f t="shared" si="1"/>
        <v>365</v>
      </c>
      <c r="AK3" s="726">
        <f t="shared" si="1"/>
        <v>90</v>
      </c>
      <c r="AL3" s="726">
        <f t="shared" si="1"/>
        <v>91</v>
      </c>
      <c r="AM3" s="726">
        <f t="shared" si="1"/>
        <v>92</v>
      </c>
      <c r="AN3" s="726">
        <f t="shared" si="1"/>
        <v>92</v>
      </c>
      <c r="AO3" s="725">
        <f t="shared" si="1"/>
        <v>365</v>
      </c>
      <c r="AP3" s="726">
        <f t="shared" si="1"/>
        <v>91</v>
      </c>
      <c r="AQ3" s="726">
        <f t="shared" si="1"/>
        <v>91</v>
      </c>
      <c r="AR3" s="726">
        <f t="shared" si="1"/>
        <v>92</v>
      </c>
      <c r="AS3" s="726">
        <f t="shared" si="1"/>
        <v>92</v>
      </c>
      <c r="AT3" s="725">
        <f t="shared" si="1"/>
        <v>366</v>
      </c>
      <c r="AU3" s="726">
        <f t="shared" si="1"/>
        <v>90</v>
      </c>
      <c r="AV3" s="726">
        <f t="shared" si="1"/>
        <v>91</v>
      </c>
      <c r="AW3" s="732">
        <f t="shared" si="1"/>
        <v>92</v>
      </c>
      <c r="AX3" s="705">
        <f t="shared" si="1"/>
        <v>92</v>
      </c>
      <c r="AY3" s="703">
        <f t="shared" si="1"/>
        <v>365</v>
      </c>
      <c r="AZ3" s="705">
        <f t="shared" si="1"/>
        <v>90</v>
      </c>
      <c r="BA3" s="705">
        <f t="shared" si="1"/>
        <v>91</v>
      </c>
      <c r="BB3" s="705">
        <f t="shared" si="1"/>
        <v>92</v>
      </c>
      <c r="BC3" s="705">
        <f t="shared" si="1"/>
        <v>92</v>
      </c>
      <c r="BD3" s="703">
        <f t="shared" si="1"/>
        <v>365</v>
      </c>
      <c r="BE3" s="703">
        <f t="shared" si="1"/>
        <v>365</v>
      </c>
      <c r="BF3" s="703">
        <f t="shared" si="1"/>
        <v>366</v>
      </c>
      <c r="BG3" s="703">
        <f t="shared" si="1"/>
        <v>365</v>
      </c>
      <c r="BH3" s="712"/>
    </row>
    <row r="4" spans="1:60" s="695" customFormat="1" ht="15" customHeight="1" x14ac:dyDescent="0.25">
      <c r="A4" s="704" t="str">
        <f>MO.DataSourceName</f>
        <v>Bloomberg</v>
      </c>
      <c r="B4" s="705" t="str">
        <f ca="1">MO.RealTime</f>
        <v>OFF</v>
      </c>
      <c r="C4" s="727">
        <f t="shared" ref="C4:AH4" si="2">INDEX(MO_Common_QEndDate,0,MATCH(C$5,MO_Common_ColumnHeader,0))</f>
        <v>40178</v>
      </c>
      <c r="D4" s="727">
        <f t="shared" si="2"/>
        <v>40543</v>
      </c>
      <c r="E4" s="727">
        <f t="shared" si="2"/>
        <v>40908</v>
      </c>
      <c r="F4" s="727">
        <f t="shared" si="2"/>
        <v>41274</v>
      </c>
      <c r="G4" s="728">
        <f t="shared" si="2"/>
        <v>41364</v>
      </c>
      <c r="H4" s="728">
        <f t="shared" si="2"/>
        <v>41455</v>
      </c>
      <c r="I4" s="728">
        <f t="shared" si="2"/>
        <v>41547</v>
      </c>
      <c r="J4" s="728">
        <f t="shared" si="2"/>
        <v>41639</v>
      </c>
      <c r="K4" s="727">
        <f t="shared" si="2"/>
        <v>41639</v>
      </c>
      <c r="L4" s="728">
        <f t="shared" si="2"/>
        <v>41729</v>
      </c>
      <c r="M4" s="728">
        <f t="shared" si="2"/>
        <v>41820</v>
      </c>
      <c r="N4" s="728">
        <f t="shared" si="2"/>
        <v>41912</v>
      </c>
      <c r="O4" s="728">
        <f t="shared" si="2"/>
        <v>42004</v>
      </c>
      <c r="P4" s="727">
        <f t="shared" si="2"/>
        <v>42004</v>
      </c>
      <c r="Q4" s="728">
        <f t="shared" si="2"/>
        <v>42094</v>
      </c>
      <c r="R4" s="728">
        <f t="shared" si="2"/>
        <v>42185</v>
      </c>
      <c r="S4" s="728">
        <f t="shared" si="2"/>
        <v>42277</v>
      </c>
      <c r="T4" s="728">
        <f t="shared" si="2"/>
        <v>42369</v>
      </c>
      <c r="U4" s="727">
        <f t="shared" si="2"/>
        <v>42369</v>
      </c>
      <c r="V4" s="728">
        <f t="shared" si="2"/>
        <v>42460</v>
      </c>
      <c r="W4" s="728">
        <f t="shared" si="2"/>
        <v>42551</v>
      </c>
      <c r="X4" s="728">
        <f t="shared" si="2"/>
        <v>42643</v>
      </c>
      <c r="Y4" s="728">
        <f t="shared" si="2"/>
        <v>42735</v>
      </c>
      <c r="Z4" s="727">
        <f t="shared" si="2"/>
        <v>42735</v>
      </c>
      <c r="AA4" s="728">
        <f t="shared" si="2"/>
        <v>42825</v>
      </c>
      <c r="AB4" s="728">
        <f t="shared" si="2"/>
        <v>42916</v>
      </c>
      <c r="AC4" s="728">
        <f t="shared" si="2"/>
        <v>43008</v>
      </c>
      <c r="AD4" s="728">
        <f t="shared" si="2"/>
        <v>43100</v>
      </c>
      <c r="AE4" s="727">
        <f t="shared" si="2"/>
        <v>43100</v>
      </c>
      <c r="AF4" s="728">
        <f t="shared" si="2"/>
        <v>43190</v>
      </c>
      <c r="AG4" s="728">
        <f t="shared" si="2"/>
        <v>43281</v>
      </c>
      <c r="AH4" s="728">
        <f t="shared" si="2"/>
        <v>43373</v>
      </c>
      <c r="AI4" s="728">
        <f t="shared" ref="AI4:BG4" si="3">INDEX(MO_Common_QEndDate,0,MATCH(AI$5,MO_Common_ColumnHeader,0))</f>
        <v>43465</v>
      </c>
      <c r="AJ4" s="727">
        <f t="shared" si="3"/>
        <v>43465</v>
      </c>
      <c r="AK4" s="728">
        <f t="shared" si="3"/>
        <v>43555</v>
      </c>
      <c r="AL4" s="728">
        <f t="shared" si="3"/>
        <v>43646</v>
      </c>
      <c r="AM4" s="728">
        <f t="shared" si="3"/>
        <v>43738</v>
      </c>
      <c r="AN4" s="728">
        <f t="shared" si="3"/>
        <v>43830</v>
      </c>
      <c r="AO4" s="727">
        <f t="shared" si="3"/>
        <v>43830</v>
      </c>
      <c r="AP4" s="728">
        <f t="shared" si="3"/>
        <v>43921</v>
      </c>
      <c r="AQ4" s="728">
        <f t="shared" si="3"/>
        <v>44012</v>
      </c>
      <c r="AR4" s="728">
        <f t="shared" si="3"/>
        <v>44104</v>
      </c>
      <c r="AS4" s="728">
        <f t="shared" si="3"/>
        <v>44196</v>
      </c>
      <c r="AT4" s="727">
        <f t="shared" si="3"/>
        <v>44196</v>
      </c>
      <c r="AU4" s="728">
        <f t="shared" si="3"/>
        <v>44286</v>
      </c>
      <c r="AV4" s="728">
        <f t="shared" si="3"/>
        <v>44377</v>
      </c>
      <c r="AW4" s="733">
        <f t="shared" si="3"/>
        <v>44469</v>
      </c>
      <c r="AX4" s="713">
        <f t="shared" si="3"/>
        <v>44561</v>
      </c>
      <c r="AY4" s="706">
        <f t="shared" si="3"/>
        <v>44561</v>
      </c>
      <c r="AZ4" s="713">
        <f t="shared" si="3"/>
        <v>44651</v>
      </c>
      <c r="BA4" s="713">
        <f t="shared" si="3"/>
        <v>44742</v>
      </c>
      <c r="BB4" s="713">
        <f t="shared" si="3"/>
        <v>44834</v>
      </c>
      <c r="BC4" s="713">
        <f t="shared" si="3"/>
        <v>44926</v>
      </c>
      <c r="BD4" s="706">
        <f t="shared" si="3"/>
        <v>44926</v>
      </c>
      <c r="BE4" s="706">
        <f t="shared" si="3"/>
        <v>45291</v>
      </c>
      <c r="BF4" s="706">
        <f t="shared" si="3"/>
        <v>45657</v>
      </c>
      <c r="BG4" s="706">
        <f t="shared" si="3"/>
        <v>46022</v>
      </c>
      <c r="BH4" s="712"/>
    </row>
    <row r="5" spans="1:60" s="695" customFormat="1" ht="15" customHeight="1" x14ac:dyDescent="0.25">
      <c r="A5" s="707" t="str">
        <f>MO.ReportFX</f>
        <v>USD</v>
      </c>
      <c r="B5" s="708"/>
      <c r="C5" s="725" t="str">
        <f>Model!C5</f>
        <v>FY2009</v>
      </c>
      <c r="D5" s="725" t="str">
        <f>Model!D5</f>
        <v>FY2010</v>
      </c>
      <c r="E5" s="725" t="str">
        <f>Model!E5</f>
        <v>FY2011</v>
      </c>
      <c r="F5" s="725" t="str">
        <f>Model!F5</f>
        <v>FY2012</v>
      </c>
      <c r="G5" s="726" t="str">
        <f>Model!G5</f>
        <v>Q1-2013</v>
      </c>
      <c r="H5" s="726" t="str">
        <f>Model!H5</f>
        <v>Q2-2013</v>
      </c>
      <c r="I5" s="726" t="str">
        <f>Model!I5</f>
        <v>Q3-2013</v>
      </c>
      <c r="J5" s="726" t="str">
        <f>Model!J5</f>
        <v>Q4-2013</v>
      </c>
      <c r="K5" s="725" t="str">
        <f>Model!K5</f>
        <v>FY2013</v>
      </c>
      <c r="L5" s="726" t="str">
        <f>Model!L5</f>
        <v>Q1-2014</v>
      </c>
      <c r="M5" s="726" t="str">
        <f>Model!M5</f>
        <v>Q2-2014</v>
      </c>
      <c r="N5" s="726" t="str">
        <f>Model!N5</f>
        <v>Q3-2014</v>
      </c>
      <c r="O5" s="726" t="str">
        <f>Model!O5</f>
        <v>Q4-2014</v>
      </c>
      <c r="P5" s="725" t="str">
        <f>Model!P5</f>
        <v>FY2014</v>
      </c>
      <c r="Q5" s="726" t="str">
        <f>Model!Q5</f>
        <v>Q1-2015</v>
      </c>
      <c r="R5" s="726" t="str">
        <f>Model!R5</f>
        <v>Q2-2015</v>
      </c>
      <c r="S5" s="726" t="str">
        <f>Model!S5</f>
        <v>Q3-2015</v>
      </c>
      <c r="T5" s="726" t="str">
        <f>Model!T5</f>
        <v>Q4-2015</v>
      </c>
      <c r="U5" s="725" t="str">
        <f>Model!U5</f>
        <v>FY2015</v>
      </c>
      <c r="V5" s="726" t="str">
        <f>Model!V5</f>
        <v>Q1-2016</v>
      </c>
      <c r="W5" s="726" t="str">
        <f>Model!W5</f>
        <v>Q2-2016</v>
      </c>
      <c r="X5" s="726" t="str">
        <f>Model!X5</f>
        <v>Q3-2016</v>
      </c>
      <c r="Y5" s="726" t="str">
        <f>Model!Y5</f>
        <v>Q4-2016</v>
      </c>
      <c r="Z5" s="725" t="str">
        <f>Model!Z5</f>
        <v>FY2016</v>
      </c>
      <c r="AA5" s="726" t="str">
        <f>Model!AA5</f>
        <v>Q1-2017</v>
      </c>
      <c r="AB5" s="726" t="str">
        <f>Model!AB5</f>
        <v>Q2-2017</v>
      </c>
      <c r="AC5" s="726" t="str">
        <f>Model!AC5</f>
        <v>Q3-2017</v>
      </c>
      <c r="AD5" s="726" t="str">
        <f>Model!AD5</f>
        <v>Q4-2017</v>
      </c>
      <c r="AE5" s="725" t="str">
        <f>Model!AE5</f>
        <v>FY2017</v>
      </c>
      <c r="AF5" s="726" t="str">
        <f>Model!AF5</f>
        <v>Q1-2018</v>
      </c>
      <c r="AG5" s="726" t="str">
        <f>Model!AG5</f>
        <v>Q2-2018</v>
      </c>
      <c r="AH5" s="726" t="str">
        <f>Model!AH5</f>
        <v>Q3-2018</v>
      </c>
      <c r="AI5" s="726" t="str">
        <f>Model!AI5</f>
        <v>Q4-2018</v>
      </c>
      <c r="AJ5" s="725" t="str">
        <f>Model!AJ5</f>
        <v>FY2018</v>
      </c>
      <c r="AK5" s="726" t="str">
        <f>Model!AK5</f>
        <v>Q1-2019</v>
      </c>
      <c r="AL5" s="726" t="str">
        <f>Model!AL5</f>
        <v>Q2-2019</v>
      </c>
      <c r="AM5" s="726" t="str">
        <f>Model!AM5</f>
        <v>Q3-2019</v>
      </c>
      <c r="AN5" s="726" t="str">
        <f>Model!AN5</f>
        <v>Q4-2019</v>
      </c>
      <c r="AO5" s="725" t="str">
        <f>Model!AO5</f>
        <v>FY2019</v>
      </c>
      <c r="AP5" s="726" t="str">
        <f>Model!AP5</f>
        <v>Q1-2020</v>
      </c>
      <c r="AQ5" s="726" t="str">
        <f>Model!AQ5</f>
        <v>Q2-2020</v>
      </c>
      <c r="AR5" s="726" t="str">
        <f>Model!AR5</f>
        <v>Q3-2020</v>
      </c>
      <c r="AS5" s="726" t="str">
        <f>Model!AS5</f>
        <v>Q4-2020</v>
      </c>
      <c r="AT5" s="725" t="str">
        <f>Model!AT5</f>
        <v>FY2020</v>
      </c>
      <c r="AU5" s="726" t="str">
        <f>Model!AU5</f>
        <v>Q1-2021</v>
      </c>
      <c r="AV5" s="726" t="str">
        <f>Model!AV5</f>
        <v>Q2-2021</v>
      </c>
      <c r="AW5" s="732" t="str">
        <f>Model!AW5</f>
        <v>Q3-2021</v>
      </c>
      <c r="AX5" s="705" t="str">
        <f>Model!AX5</f>
        <v>Q4-2021</v>
      </c>
      <c r="AY5" s="703" t="str">
        <f>Model!AY5</f>
        <v>FY2021</v>
      </c>
      <c r="AZ5" s="705" t="str">
        <f>Model!AZ5</f>
        <v>Q1-2022</v>
      </c>
      <c r="BA5" s="705" t="str">
        <f>Model!BA5</f>
        <v>Q2-2022</v>
      </c>
      <c r="BB5" s="705" t="str">
        <f>Model!BB5</f>
        <v>Q3-2022</v>
      </c>
      <c r="BC5" s="705" t="str">
        <f>Model!BC5</f>
        <v>Q4-2022</v>
      </c>
      <c r="BD5" s="703" t="str">
        <f>Model!BD5</f>
        <v>FY2022</v>
      </c>
      <c r="BE5" s="703" t="str">
        <f>Model!BE5</f>
        <v>FY2023</v>
      </c>
      <c r="BF5" s="703" t="str">
        <f>Model!BF5</f>
        <v>FY2024</v>
      </c>
      <c r="BG5" s="703" t="str">
        <f>Model!BG5</f>
        <v>FY2025</v>
      </c>
      <c r="BH5" s="712"/>
    </row>
    <row r="6" spans="1:60" s="709" customFormat="1" ht="15" x14ac:dyDescent="0.25">
      <c r="A6" s="845" t="s">
        <v>580</v>
      </c>
      <c r="B6" s="845"/>
      <c r="C6" s="843"/>
      <c r="D6" s="843"/>
      <c r="E6" s="843"/>
      <c r="F6" s="843"/>
      <c r="G6" s="843"/>
      <c r="H6" s="843"/>
      <c r="I6" s="843"/>
      <c r="J6" s="843"/>
      <c r="K6" s="843"/>
      <c r="L6" s="843"/>
      <c r="M6" s="843"/>
      <c r="N6" s="843"/>
      <c r="O6" s="843"/>
      <c r="P6" s="843"/>
      <c r="Q6" s="843"/>
      <c r="R6" s="843"/>
      <c r="S6" s="843"/>
      <c r="T6" s="843"/>
      <c r="U6" s="843"/>
      <c r="V6" s="843"/>
      <c r="W6" s="843"/>
      <c r="X6" s="843"/>
      <c r="Y6" s="843"/>
      <c r="Z6" s="843"/>
      <c r="AA6" s="843"/>
      <c r="AB6" s="843"/>
      <c r="AC6" s="843"/>
      <c r="AD6" s="843"/>
      <c r="AE6" s="843"/>
      <c r="AF6" s="843"/>
      <c r="AG6" s="843"/>
      <c r="AH6" s="843"/>
      <c r="AI6" s="843"/>
      <c r="AJ6" s="843"/>
      <c r="AK6" s="843"/>
      <c r="AL6" s="843"/>
      <c r="AM6" s="843"/>
      <c r="AN6" s="843"/>
      <c r="AO6" s="843"/>
      <c r="AP6" s="843"/>
      <c r="AQ6" s="843"/>
      <c r="AR6" s="843"/>
      <c r="AS6" s="843"/>
      <c r="AT6" s="843"/>
      <c r="AU6" s="843"/>
      <c r="AV6" s="843"/>
      <c r="AW6" s="844"/>
      <c r="AX6" s="845"/>
      <c r="AY6" s="845"/>
      <c r="AZ6" s="845"/>
      <c r="BA6" s="845"/>
      <c r="BB6" s="845"/>
      <c r="BC6" s="845"/>
      <c r="BD6" s="845"/>
      <c r="BE6" s="845"/>
      <c r="BF6" s="845"/>
      <c r="BG6" s="845"/>
      <c r="BH6" s="714"/>
    </row>
    <row r="7" spans="1:60" s="57" customFormat="1" ht="15" x14ac:dyDescent="0.25">
      <c r="A7" s="178" t="s">
        <v>581</v>
      </c>
      <c r="B7" s="442"/>
      <c r="C7" s="864"/>
      <c r="D7" s="864">
        <f>Model!D677</f>
        <v>168.69499999999999</v>
      </c>
      <c r="E7" s="864">
        <f>Model!E677</f>
        <v>935.03599999999994</v>
      </c>
      <c r="F7" s="864">
        <f>Model!F677</f>
        <v>1366.847</v>
      </c>
      <c r="G7" s="867">
        <f>Model!G677</f>
        <v>1355.01</v>
      </c>
      <c r="H7" s="867">
        <f>Model!H677</f>
        <v>1321.2170000000001</v>
      </c>
      <c r="I7" s="867">
        <f>Model!I677</f>
        <v>1591.981</v>
      </c>
      <c r="J7" s="867">
        <f>K7</f>
        <v>1775.9829999999999</v>
      </c>
      <c r="K7" s="864">
        <f>Model!K677</f>
        <v>1775.9829999999999</v>
      </c>
      <c r="L7" s="867">
        <f>Model!L677</f>
        <v>1844.8969999999999</v>
      </c>
      <c r="M7" s="867">
        <f>Model!M677</f>
        <v>1858.02</v>
      </c>
      <c r="N7" s="867">
        <f>Model!N677</f>
        <v>2074.7660000000001</v>
      </c>
      <c r="O7" s="867">
        <f>P7</f>
        <v>2117.241</v>
      </c>
      <c r="P7" s="864">
        <f>Model!P677</f>
        <v>2117.241</v>
      </c>
      <c r="Q7" s="867">
        <f>Model!Q677</f>
        <v>2425.6190000000001</v>
      </c>
      <c r="R7" s="867">
        <f>Model!R677</f>
        <v>2556.1799999999998</v>
      </c>
      <c r="S7" s="867">
        <f>Model!S677</f>
        <v>2622.9639999999999</v>
      </c>
      <c r="T7" s="867">
        <f>U7</f>
        <v>2789.0230000000001</v>
      </c>
      <c r="U7" s="864">
        <f>Model!U677</f>
        <v>2789.0230000000001</v>
      </c>
      <c r="V7" s="867">
        <f>Model!V677</f>
        <v>3145.8609999999999</v>
      </c>
      <c r="W7" s="867">
        <f>Model!W677</f>
        <v>3242.33</v>
      </c>
      <c r="X7" s="867">
        <f>Model!X677</f>
        <v>3497.2139999999999</v>
      </c>
      <c r="Y7" s="867">
        <f>Z7</f>
        <v>3632.7109999999998</v>
      </c>
      <c r="Z7" s="864">
        <f>Model!Z677</f>
        <v>3632.7109999999998</v>
      </c>
      <c r="AA7" s="867">
        <f>Model!AA677</f>
        <v>3861.4470000000001</v>
      </c>
      <c r="AB7" s="867">
        <f>Model!AB677</f>
        <v>4095.3739999999998</v>
      </c>
      <c r="AC7" s="867">
        <f>Model!AC677</f>
        <v>4142.0860000000002</v>
      </c>
      <c r="AD7" s="867">
        <f>AE7</f>
        <v>4173.0410000000002</v>
      </c>
      <c r="AE7" s="864">
        <f>Model!AE677</f>
        <v>4173.0410000000002</v>
      </c>
      <c r="AF7" s="867">
        <f>Model!AF677</f>
        <v>4466.0810000000001</v>
      </c>
      <c r="AG7" s="867">
        <f>Model!AG677</f>
        <v>4541.0870000000004</v>
      </c>
      <c r="AH7" s="867">
        <f>Model!AH677</f>
        <v>4613.0110000000004</v>
      </c>
      <c r="AI7" s="867">
        <f>AJ7</f>
        <v>4686.0190000000002</v>
      </c>
      <c r="AJ7" s="864">
        <f>Model!AJ677</f>
        <v>4686.0190000000002</v>
      </c>
      <c r="AK7" s="867">
        <f>Model!AK677</f>
        <v>4863.3509999999997</v>
      </c>
      <c r="AL7" s="867">
        <f>Model!AL677</f>
        <v>4848.201</v>
      </c>
      <c r="AM7" s="867">
        <f>Model!AM677</f>
        <v>4860.5420000000004</v>
      </c>
      <c r="AN7" s="867">
        <f>AO7</f>
        <v>4413.5609999999997</v>
      </c>
      <c r="AO7" s="864">
        <f>Model!AO677</f>
        <v>4413.5609999999997</v>
      </c>
      <c r="AP7" s="867">
        <f>Model!AP677</f>
        <v>4761.585</v>
      </c>
      <c r="AQ7" s="867">
        <f>Model!AQ677</f>
        <v>4664.7330000000002</v>
      </c>
      <c r="AR7" s="867">
        <f>Model!AR677</f>
        <v>4599.6540000000005</v>
      </c>
      <c r="AS7" s="867">
        <f>AT7</f>
        <v>4429.5360000000001</v>
      </c>
      <c r="AT7" s="864">
        <f>Model!AT677</f>
        <v>4429.5360000000001</v>
      </c>
      <c r="AU7" s="867">
        <f>Model!AU677</f>
        <v>4297.9570000000003</v>
      </c>
      <c r="AV7" s="867">
        <f>Model!AV677</f>
        <v>4197.8739999999998</v>
      </c>
      <c r="AW7" s="868">
        <v>4110.9620000000004</v>
      </c>
      <c r="AX7" s="867"/>
      <c r="AY7" s="864"/>
      <c r="AZ7" s="867"/>
      <c r="BA7" s="867"/>
      <c r="BB7" s="867"/>
      <c r="BC7" s="867"/>
      <c r="BD7" s="864"/>
      <c r="BE7" s="864"/>
      <c r="BF7" s="864"/>
      <c r="BG7" s="864"/>
      <c r="BH7" s="821"/>
    </row>
    <row r="8" spans="1:60" s="57" customFormat="1" ht="15" x14ac:dyDescent="0.25">
      <c r="A8" s="178" t="s">
        <v>584</v>
      </c>
      <c r="B8" s="442"/>
      <c r="C8" s="864"/>
      <c r="D8" s="864">
        <f>Model!D688</f>
        <v>48.179000000000002</v>
      </c>
      <c r="E8" s="864">
        <f>Model!E688</f>
        <v>739.62800000000004</v>
      </c>
      <c r="F8" s="864">
        <f>Model!F688</f>
        <v>1076.6220000000001</v>
      </c>
      <c r="G8" s="867">
        <f>Model!G688</f>
        <v>1083.4269999999999</v>
      </c>
      <c r="H8" s="867">
        <f>Model!H688</f>
        <v>1124.249</v>
      </c>
      <c r="I8" s="867">
        <f>Model!I688</f>
        <v>1179.0550000000001</v>
      </c>
      <c r="J8" s="867">
        <f>K8</f>
        <v>1345.59</v>
      </c>
      <c r="K8" s="864">
        <f>Model!K688</f>
        <v>1345.59</v>
      </c>
      <c r="L8" s="867">
        <f>Model!L688</f>
        <v>1321.8789999999999</v>
      </c>
      <c r="M8" s="867">
        <f>Model!M688</f>
        <v>1390.77</v>
      </c>
      <c r="N8" s="867">
        <f>Model!N688</f>
        <v>1510.403</v>
      </c>
      <c r="O8" s="867">
        <f>P8</f>
        <v>1575.8320000000001</v>
      </c>
      <c r="P8" s="864">
        <f>Model!P688</f>
        <v>1575.8320000000001</v>
      </c>
      <c r="Q8" s="867">
        <f>Model!Q688</f>
        <v>1861.7909999999999</v>
      </c>
      <c r="R8" s="867">
        <f>Model!R688</f>
        <v>1942.624</v>
      </c>
      <c r="S8" s="867">
        <f>Model!S688</f>
        <v>1966.854</v>
      </c>
      <c r="T8" s="867">
        <f>U8</f>
        <v>2026.36</v>
      </c>
      <c r="U8" s="864">
        <f>Model!U688</f>
        <v>2026.36</v>
      </c>
      <c r="V8" s="867">
        <f>Model!V688</f>
        <v>2586.098</v>
      </c>
      <c r="W8" s="867">
        <f>Model!W688</f>
        <v>2698.52</v>
      </c>
      <c r="X8" s="867">
        <f>Model!X688</f>
        <v>2975.1889999999999</v>
      </c>
      <c r="Y8" s="867">
        <f>Z8</f>
        <v>2894.654</v>
      </c>
      <c r="Z8" s="864">
        <f>Model!Z688</f>
        <v>2894.654</v>
      </c>
      <c r="AA8" s="867">
        <f>Model!AA688</f>
        <v>3035.43</v>
      </c>
      <c r="AB8" s="867">
        <f>Model!AB688</f>
        <v>3356.09</v>
      </c>
      <c r="AC8" s="867">
        <f>Model!AC688</f>
        <v>3296.5039999999999</v>
      </c>
      <c r="AD8" s="867">
        <f>AE8</f>
        <v>3329.7959999999998</v>
      </c>
      <c r="AE8" s="864">
        <f>Model!AE688</f>
        <v>3329.7959999999998</v>
      </c>
      <c r="AF8" s="867">
        <f>Model!AF688</f>
        <v>3444.4760000000001</v>
      </c>
      <c r="AG8" s="867">
        <f>Model!AG688</f>
        <v>3604.1579999999999</v>
      </c>
      <c r="AH8" s="867">
        <f>Model!AH688</f>
        <v>3593.8229999999999</v>
      </c>
      <c r="AI8" s="867">
        <f>AJ8</f>
        <v>3759.0259999999998</v>
      </c>
      <c r="AJ8" s="864">
        <f>Model!AJ688</f>
        <v>3759.0259999999998</v>
      </c>
      <c r="AK8" s="867">
        <f>Model!AK688</f>
        <v>3560.364</v>
      </c>
      <c r="AL8" s="867">
        <f>Model!AL688</f>
        <v>3564.44</v>
      </c>
      <c r="AM8" s="867">
        <f>Model!AM688</f>
        <v>3419.5520000000001</v>
      </c>
      <c r="AN8" s="867">
        <f>AO8</f>
        <v>3334.3229999999999</v>
      </c>
      <c r="AO8" s="864">
        <f>Model!AO688</f>
        <v>3334.3229999999999</v>
      </c>
      <c r="AP8" s="867">
        <f>Model!AP688</f>
        <v>3206.0509999999999</v>
      </c>
      <c r="AQ8" s="867">
        <f>Model!AQ688</f>
        <v>3208.1640000000002</v>
      </c>
      <c r="AR8" s="867">
        <f>Model!AR688</f>
        <v>2926.5740000000001</v>
      </c>
      <c r="AS8" s="867">
        <f>AT8</f>
        <v>2618.0839999999998</v>
      </c>
      <c r="AT8" s="864">
        <f>Model!AT688</f>
        <v>2618.0839999999998</v>
      </c>
      <c r="AU8" s="867">
        <f>Model!AU688</f>
        <v>2465.6260000000002</v>
      </c>
      <c r="AV8" s="867">
        <f>Model!AV688</f>
        <v>2265.2860000000001</v>
      </c>
      <c r="AW8" s="868">
        <v>2301.0259999999998</v>
      </c>
      <c r="AX8" s="867"/>
      <c r="AY8" s="864"/>
      <c r="AZ8" s="867"/>
      <c r="BA8" s="867"/>
      <c r="BB8" s="867"/>
      <c r="BC8" s="867"/>
      <c r="BD8" s="864"/>
      <c r="BE8" s="864"/>
      <c r="BF8" s="864"/>
      <c r="BG8" s="864"/>
      <c r="BH8" s="821"/>
    </row>
    <row r="9" spans="1:60" s="57" customFormat="1" ht="15" x14ac:dyDescent="0.25">
      <c r="A9" s="334" t="s">
        <v>582</v>
      </c>
      <c r="B9" s="335"/>
      <c r="C9" s="881"/>
      <c r="D9" s="881">
        <f t="shared" ref="D9:I9" si="4">D10-D7-D8</f>
        <v>1082.3019999999999</v>
      </c>
      <c r="E9" s="881">
        <f t="shared" si="4"/>
        <v>2232.5339999999997</v>
      </c>
      <c r="F9" s="886">
        <f t="shared" si="4"/>
        <v>3190.2160000000003</v>
      </c>
      <c r="G9" s="882">
        <f t="shared" si="4"/>
        <v>3234.049</v>
      </c>
      <c r="H9" s="882">
        <f t="shared" si="4"/>
        <v>3922.6389999999992</v>
      </c>
      <c r="I9" s="882">
        <f t="shared" si="4"/>
        <v>3734.3149999999996</v>
      </c>
      <c r="J9" s="885">
        <f>K9</f>
        <v>4130.5879999999997</v>
      </c>
      <c r="K9" s="886">
        <f>K10-K7-K8</f>
        <v>4130.5879999999997</v>
      </c>
      <c r="L9" s="882">
        <f>L10-L7-L8</f>
        <v>3956.433</v>
      </c>
      <c r="M9" s="882">
        <f>M10-M7-M8</f>
        <v>4479.26</v>
      </c>
      <c r="N9" s="882">
        <f>N10-N7-N8</f>
        <v>5272.0580000000009</v>
      </c>
      <c r="O9" s="885">
        <f>P9</f>
        <v>5758.0389999999989</v>
      </c>
      <c r="P9" s="886">
        <f>P10-P7-P8</f>
        <v>5758.0389999999989</v>
      </c>
      <c r="Q9" s="882">
        <f>Q10-Q7-Q8</f>
        <v>5492.8519999999999</v>
      </c>
      <c r="R9" s="882">
        <f>R10-R7-R8</f>
        <v>5574.6049999999996</v>
      </c>
      <c r="S9" s="882">
        <f>S10-S7-S8</f>
        <v>5788.4000000000005</v>
      </c>
      <c r="T9" s="885">
        <f>U9</f>
        <v>6086.848</v>
      </c>
      <c r="U9" s="886">
        <f>U10-U7-U8</f>
        <v>6086.848</v>
      </c>
      <c r="V9" s="882">
        <f>V10-V7-V8</f>
        <v>6586.2739999999994</v>
      </c>
      <c r="W9" s="882">
        <f>W10-W7-W8</f>
        <v>7253.1589999999997</v>
      </c>
      <c r="X9" s="882">
        <f>X10-X7-X8</f>
        <v>7880.6419999999998</v>
      </c>
      <c r="Y9" s="885">
        <f>Z9</f>
        <v>7952.1219999999994</v>
      </c>
      <c r="Z9" s="886">
        <f>Z10-Z7-Z8</f>
        <v>7952.1219999999994</v>
      </c>
      <c r="AA9" s="882">
        <f>AA10-AA7-AA8</f>
        <v>8393.2569999999996</v>
      </c>
      <c r="AB9" s="882">
        <f>AB10-AB7-AB8</f>
        <v>8247.9230000000007</v>
      </c>
      <c r="AC9" s="882">
        <f>AC10-AC7-AC8</f>
        <v>9553.34</v>
      </c>
      <c r="AD9" s="885">
        <f>AE9</f>
        <v>10191.804999999998</v>
      </c>
      <c r="AE9" s="886">
        <f>AE10-AE7-AE8</f>
        <v>10191.804999999998</v>
      </c>
      <c r="AF9" s="882">
        <f>AF10-AF7-AF8</f>
        <v>10027.125</v>
      </c>
      <c r="AG9" s="882">
        <f>AG10-AG7-AG8</f>
        <v>10253.521000000001</v>
      </c>
      <c r="AH9" s="882">
        <f>AH10-AH7-AH8</f>
        <v>10438.924000000001</v>
      </c>
      <c r="AI9" s="885">
        <f>AJ9</f>
        <v>10840.83</v>
      </c>
      <c r="AJ9" s="886">
        <f>AJ10-AJ7-AJ8</f>
        <v>10840.83</v>
      </c>
      <c r="AK9" s="882">
        <f>AK10-AK7-AK8</f>
        <v>10499.074000000002</v>
      </c>
      <c r="AL9" s="882">
        <f>AL10-AL7-AL8</f>
        <v>10090.175999999998</v>
      </c>
      <c r="AM9" s="882">
        <f>AM10-AM7-AM8</f>
        <v>10861.449000000001</v>
      </c>
      <c r="AN9" s="885">
        <f>AO9</f>
        <v>11742.197999999999</v>
      </c>
      <c r="AO9" s="886">
        <f>AO10-AO7-AO8</f>
        <v>11742.197999999999</v>
      </c>
      <c r="AP9" s="885">
        <f>AP10-AP7-AP8</f>
        <v>11206.402000000002</v>
      </c>
      <c r="AQ9" s="882">
        <f>AQ10-AQ7-AQ8</f>
        <v>11260.442999999999</v>
      </c>
      <c r="AR9" s="882">
        <f>AR10-AR7-AR8</f>
        <v>11546.026</v>
      </c>
      <c r="AS9" s="885">
        <f>AT9</f>
        <v>12171.210000000003</v>
      </c>
      <c r="AT9" s="886">
        <f>AT10-AT7-AT8</f>
        <v>12171.210000000003</v>
      </c>
      <c r="AU9" s="885">
        <f>AU10-AU7-AU8</f>
        <v>13961.581999999999</v>
      </c>
      <c r="AV9" s="882">
        <f>AV10-AV7-AV8</f>
        <v>15399.984</v>
      </c>
      <c r="AW9" s="883">
        <f>AW10-AW7-AW8</f>
        <v>16053.552000000001</v>
      </c>
      <c r="AX9" s="882"/>
      <c r="AY9" s="881"/>
      <c r="AZ9" s="882"/>
      <c r="BA9" s="882"/>
      <c r="BB9" s="882"/>
      <c r="BC9" s="882"/>
      <c r="BD9" s="881"/>
      <c r="BE9" s="881"/>
      <c r="BF9" s="881"/>
      <c r="BG9" s="881"/>
      <c r="BH9" s="821"/>
    </row>
    <row r="10" spans="1:60" s="57" customFormat="1" ht="15" x14ac:dyDescent="0.25">
      <c r="A10" s="61" t="s">
        <v>583</v>
      </c>
      <c r="B10" s="492"/>
      <c r="C10" s="869"/>
      <c r="D10" s="872">
        <v>1299.1759999999999</v>
      </c>
      <c r="E10" s="872">
        <v>3907.1979999999999</v>
      </c>
      <c r="F10" s="872">
        <v>5633.6850000000004</v>
      </c>
      <c r="G10" s="871">
        <v>5672.4859999999999</v>
      </c>
      <c r="H10" s="871">
        <v>6368.1049999999996</v>
      </c>
      <c r="I10" s="871">
        <v>6505.3509999999997</v>
      </c>
      <c r="J10" s="871">
        <f>K10</f>
        <v>7252.1610000000001</v>
      </c>
      <c r="K10" s="872">
        <v>7252.1610000000001</v>
      </c>
      <c r="L10" s="871">
        <v>7123.2089999999998</v>
      </c>
      <c r="M10" s="871">
        <v>7728.05</v>
      </c>
      <c r="N10" s="871">
        <v>8857.2270000000008</v>
      </c>
      <c r="O10" s="871">
        <f>P10</f>
        <v>9451.1119999999992</v>
      </c>
      <c r="P10" s="872">
        <v>9451.1119999999992</v>
      </c>
      <c r="Q10" s="871">
        <v>9780.2620000000006</v>
      </c>
      <c r="R10" s="871">
        <v>10073.409</v>
      </c>
      <c r="S10" s="871">
        <v>10378.218000000001</v>
      </c>
      <c r="T10" s="871">
        <f>U10</f>
        <v>10902.231</v>
      </c>
      <c r="U10" s="872">
        <v>10902.231</v>
      </c>
      <c r="V10" s="871">
        <v>12318.233</v>
      </c>
      <c r="W10" s="871">
        <v>13194.009</v>
      </c>
      <c r="X10" s="871">
        <v>14353.045</v>
      </c>
      <c r="Y10" s="871">
        <f>Z10</f>
        <v>14479.486999999999</v>
      </c>
      <c r="Z10" s="872">
        <v>14479.486999999999</v>
      </c>
      <c r="AA10" s="871">
        <v>15290.134</v>
      </c>
      <c r="AB10" s="871">
        <v>15699.387000000001</v>
      </c>
      <c r="AC10" s="871">
        <v>16991.93</v>
      </c>
      <c r="AD10" s="871">
        <f>AE10</f>
        <v>17694.642</v>
      </c>
      <c r="AE10" s="872">
        <v>17694.642</v>
      </c>
      <c r="AF10" s="871">
        <v>17937.682000000001</v>
      </c>
      <c r="AG10" s="871">
        <v>18398.766</v>
      </c>
      <c r="AH10" s="871">
        <v>18645.758000000002</v>
      </c>
      <c r="AI10" s="871">
        <f>AJ10</f>
        <v>19285.875</v>
      </c>
      <c r="AJ10" s="872">
        <v>19285.875</v>
      </c>
      <c r="AK10" s="871">
        <v>18922.789000000001</v>
      </c>
      <c r="AL10" s="871">
        <v>18502.816999999999</v>
      </c>
      <c r="AM10" s="871">
        <v>19141.543000000001</v>
      </c>
      <c r="AN10" s="871">
        <f>AO10</f>
        <v>19490.081999999999</v>
      </c>
      <c r="AO10" s="872">
        <v>19490.081999999999</v>
      </c>
      <c r="AP10" s="871">
        <v>19174.038</v>
      </c>
      <c r="AQ10" s="871">
        <v>19133.34</v>
      </c>
      <c r="AR10" s="871">
        <v>19072.254000000001</v>
      </c>
      <c r="AS10" s="871">
        <f>AT10</f>
        <v>19218.830000000002</v>
      </c>
      <c r="AT10" s="872">
        <v>19218.830000000002</v>
      </c>
      <c r="AU10" s="871">
        <v>20725.165000000001</v>
      </c>
      <c r="AV10" s="871">
        <v>21863.144</v>
      </c>
      <c r="AW10" s="887">
        <v>22465.54</v>
      </c>
      <c r="AX10" s="870"/>
      <c r="AY10" s="869"/>
      <c r="AZ10" s="870"/>
      <c r="BA10" s="870"/>
      <c r="BB10" s="870"/>
      <c r="BC10" s="870"/>
      <c r="BD10" s="869"/>
      <c r="BE10" s="869"/>
      <c r="BF10" s="869"/>
      <c r="BG10" s="869"/>
      <c r="BH10" s="824"/>
    </row>
    <row r="11" spans="1:60" s="57" customFormat="1" ht="15" x14ac:dyDescent="0.25">
      <c r="A11" s="495"/>
      <c r="B11" s="442"/>
      <c r="C11" s="864"/>
      <c r="D11" s="864"/>
      <c r="E11" s="864"/>
      <c r="F11" s="864"/>
      <c r="G11" s="867"/>
      <c r="H11" s="867"/>
      <c r="I11" s="867"/>
      <c r="J11" s="867"/>
      <c r="K11" s="864"/>
      <c r="L11" s="867"/>
      <c r="M11" s="867"/>
      <c r="N11" s="867"/>
      <c r="O11" s="867"/>
      <c r="P11" s="864"/>
      <c r="Q11" s="867"/>
      <c r="R11" s="867"/>
      <c r="S11" s="867"/>
      <c r="T11" s="867"/>
      <c r="U11" s="864"/>
      <c r="V11" s="867"/>
      <c r="W11" s="867"/>
      <c r="X11" s="867"/>
      <c r="Y11" s="867"/>
      <c r="Z11" s="864"/>
      <c r="AA11" s="867"/>
      <c r="AB11" s="867"/>
      <c r="AC11" s="867"/>
      <c r="AD11" s="867"/>
      <c r="AE11" s="864"/>
      <c r="AF11" s="867"/>
      <c r="AG11" s="867"/>
      <c r="AH11" s="867"/>
      <c r="AI11" s="867"/>
      <c r="AJ11" s="864"/>
      <c r="AK11" s="867"/>
      <c r="AL11" s="867"/>
      <c r="AM11" s="867"/>
      <c r="AN11" s="867"/>
      <c r="AO11" s="864"/>
      <c r="AP11" s="867"/>
      <c r="AQ11" s="867"/>
      <c r="AR11" s="867"/>
      <c r="AS11" s="867"/>
      <c r="AT11" s="864"/>
      <c r="AU11" s="867"/>
      <c r="AV11" s="867"/>
      <c r="AW11" s="868"/>
      <c r="AX11" s="867"/>
      <c r="AY11" s="864"/>
      <c r="AZ11" s="867"/>
      <c r="BA11" s="867"/>
      <c r="BB11" s="867"/>
      <c r="BC11" s="867"/>
      <c r="BD11" s="864"/>
      <c r="BE11" s="864"/>
      <c r="BF11" s="864"/>
      <c r="BG11" s="864"/>
      <c r="BH11" s="821"/>
    </row>
    <row r="12" spans="1:60" s="420" customFormat="1" ht="15" x14ac:dyDescent="0.25">
      <c r="A12" s="178" t="s">
        <v>585</v>
      </c>
      <c r="B12" s="442"/>
      <c r="C12" s="864"/>
      <c r="D12" s="864">
        <v>530.87800000000004</v>
      </c>
      <c r="E12" s="864">
        <v>797.649</v>
      </c>
      <c r="F12" s="864">
        <v>2299.5619999999999</v>
      </c>
      <c r="G12" s="867">
        <v>2376.2600000000002</v>
      </c>
      <c r="H12" s="867">
        <v>2533.0610000000001</v>
      </c>
      <c r="I12" s="867">
        <v>2766.5970000000002</v>
      </c>
      <c r="J12" s="867">
        <f>K12</f>
        <v>2972.3249999999998</v>
      </c>
      <c r="K12" s="864">
        <v>2972.3249999999998</v>
      </c>
      <c r="L12" s="867">
        <v>3055.127</v>
      </c>
      <c r="M12" s="867">
        <v>3304.3670000000002</v>
      </c>
      <c r="N12" s="867">
        <v>3574.1289999999999</v>
      </c>
      <c r="O12" s="867">
        <f>P12</f>
        <v>3747.6480000000001</v>
      </c>
      <c r="P12" s="864">
        <v>3747.6480000000001</v>
      </c>
      <c r="Q12" s="867">
        <v>4016.95</v>
      </c>
      <c r="R12" s="867">
        <v>4271.2849999999999</v>
      </c>
      <c r="S12" s="867">
        <v>4535.2089999999998</v>
      </c>
      <c r="T12" s="867">
        <f>U12</f>
        <v>4703.1719999999996</v>
      </c>
      <c r="U12" s="864">
        <v>4703.1719999999996</v>
      </c>
      <c r="V12" s="867">
        <v>5161.2790000000005</v>
      </c>
      <c r="W12" s="867">
        <v>5544.875</v>
      </c>
      <c r="X12" s="867">
        <v>5895.2049999999999</v>
      </c>
      <c r="Y12" s="867">
        <f>Z12</f>
        <v>6200.6109999999999</v>
      </c>
      <c r="Z12" s="864">
        <v>6200.6109999999999</v>
      </c>
      <c r="AA12" s="867">
        <v>6599.7539999999999</v>
      </c>
      <c r="AB12" s="867">
        <v>6592.5169999999998</v>
      </c>
      <c r="AC12" s="867">
        <v>6984.36</v>
      </c>
      <c r="AD12" s="867">
        <f>AE12</f>
        <v>7446.9470000000001</v>
      </c>
      <c r="AE12" s="864">
        <v>7446.9470000000001</v>
      </c>
      <c r="AF12" s="867">
        <v>7949.5439999999999</v>
      </c>
      <c r="AG12" s="867">
        <v>8212.6139999999996</v>
      </c>
      <c r="AH12" s="867">
        <v>8407.1560000000009</v>
      </c>
      <c r="AI12" s="867">
        <f>AJ12</f>
        <v>8611.3979999999992</v>
      </c>
      <c r="AJ12" s="864">
        <v>8611.3979999999992</v>
      </c>
      <c r="AK12" s="867">
        <v>8888.491</v>
      </c>
      <c r="AL12" s="867">
        <v>8741.6229999999996</v>
      </c>
      <c r="AM12" s="867">
        <v>8993.6119999999992</v>
      </c>
      <c r="AN12" s="867">
        <f>AO12</f>
        <v>8477.3670000000002</v>
      </c>
      <c r="AO12" s="864">
        <v>8477.3670000000002</v>
      </c>
      <c r="AP12" s="867">
        <v>8618.1849999999995</v>
      </c>
      <c r="AQ12" s="867">
        <v>8415.7919999999995</v>
      </c>
      <c r="AR12" s="867">
        <v>8668.2960000000003</v>
      </c>
      <c r="AS12" s="867">
        <f>AT12</f>
        <v>8980.8680000000004</v>
      </c>
      <c r="AT12" s="864">
        <v>8980.8680000000004</v>
      </c>
      <c r="AU12" s="867">
        <v>9456.3420000000006</v>
      </c>
      <c r="AV12" s="867">
        <v>9885.5889999999999</v>
      </c>
      <c r="AW12" s="868">
        <v>10017.405000000001</v>
      </c>
      <c r="AX12" s="867"/>
      <c r="AY12" s="864"/>
      <c r="AZ12" s="867"/>
      <c r="BA12" s="867"/>
      <c r="BB12" s="867"/>
      <c r="BC12" s="867"/>
      <c r="BD12" s="864"/>
      <c r="BE12" s="864"/>
      <c r="BF12" s="864"/>
      <c r="BG12" s="864"/>
      <c r="BH12" s="821"/>
    </row>
    <row r="13" spans="1:60" s="420" customFormat="1" ht="15" x14ac:dyDescent="0.25">
      <c r="A13" s="178" t="s">
        <v>586</v>
      </c>
      <c r="B13" s="442"/>
      <c r="C13" s="864"/>
      <c r="D13" s="864">
        <v>531.69799999999998</v>
      </c>
      <c r="E13" s="864">
        <v>2384.373</v>
      </c>
      <c r="F13" s="864">
        <v>2715.2939999999999</v>
      </c>
      <c r="G13" s="867">
        <v>2696.8960000000002</v>
      </c>
      <c r="H13" s="867">
        <v>2864.3310000000001</v>
      </c>
      <c r="I13" s="867">
        <v>2829.201</v>
      </c>
      <c r="J13" s="867">
        <f>K13</f>
        <v>3266.9070000000002</v>
      </c>
      <c r="K13" s="864">
        <v>3266.9070000000002</v>
      </c>
      <c r="L13" s="867">
        <v>3393.761</v>
      </c>
      <c r="M13" s="867">
        <v>3732.38</v>
      </c>
      <c r="N13" s="867">
        <v>4176.6210000000001</v>
      </c>
      <c r="O13" s="867">
        <f>P13</f>
        <v>4495.1030000000001</v>
      </c>
      <c r="P13" s="864">
        <v>4495.1030000000001</v>
      </c>
      <c r="Q13" s="867">
        <v>4634.7920000000004</v>
      </c>
      <c r="R13" s="867">
        <v>4791.0330000000004</v>
      </c>
      <c r="S13" s="867">
        <v>4888.13</v>
      </c>
      <c r="T13" s="867">
        <f>U13</f>
        <v>5249.1469999999999</v>
      </c>
      <c r="U13" s="864">
        <v>5249.1469999999999</v>
      </c>
      <c r="V13" s="867">
        <v>5745.0410000000002</v>
      </c>
      <c r="W13" s="867">
        <v>6305.9359999999997</v>
      </c>
      <c r="X13" s="867">
        <v>6770.0069999999996</v>
      </c>
      <c r="Y13" s="867">
        <f>Z13</f>
        <v>6731.3360000000002</v>
      </c>
      <c r="Z13" s="864">
        <v>6731.3360000000002</v>
      </c>
      <c r="AA13" s="867">
        <v>6939.8469999999998</v>
      </c>
      <c r="AB13" s="867">
        <v>7461.47</v>
      </c>
      <c r="AC13" s="867">
        <v>7918.009</v>
      </c>
      <c r="AD13" s="867">
        <f>AE13</f>
        <v>8210.1589999999997</v>
      </c>
      <c r="AE13" s="864">
        <v>8210.1589999999997</v>
      </c>
      <c r="AF13" s="867">
        <v>8015.8370000000004</v>
      </c>
      <c r="AG13" s="867">
        <v>8374.64</v>
      </c>
      <c r="AH13" s="867">
        <v>8557.3960000000006</v>
      </c>
      <c r="AI13" s="867">
        <f>AJ13</f>
        <v>8841.5609999999997</v>
      </c>
      <c r="AJ13" s="864">
        <v>8841.5609999999997</v>
      </c>
      <c r="AK13" s="867">
        <v>8416.7360000000008</v>
      </c>
      <c r="AL13" s="867">
        <v>8282.2649999999994</v>
      </c>
      <c r="AM13" s="867">
        <v>8082.44</v>
      </c>
      <c r="AN13" s="867">
        <f>AO13</f>
        <v>8352.7309999999998</v>
      </c>
      <c r="AO13" s="864">
        <v>8352.7309999999998</v>
      </c>
      <c r="AP13" s="867">
        <v>8064.2060000000001</v>
      </c>
      <c r="AQ13" s="867">
        <v>8315.4490000000005</v>
      </c>
      <c r="AR13" s="867">
        <v>8004.6239999999998</v>
      </c>
      <c r="AS13" s="867">
        <f>AT13</f>
        <v>7819.5630000000001</v>
      </c>
      <c r="AT13" s="864">
        <v>7819.5630000000001</v>
      </c>
      <c r="AU13" s="867">
        <v>8241.0220000000008</v>
      </c>
      <c r="AV13" s="867">
        <v>8548.4629999999997</v>
      </c>
      <c r="AW13" s="868">
        <v>8991.7810000000009</v>
      </c>
      <c r="AX13" s="867"/>
      <c r="AY13" s="864"/>
      <c r="AZ13" s="867"/>
      <c r="BA13" s="867"/>
      <c r="BB13" s="867"/>
      <c r="BC13" s="867"/>
      <c r="BD13" s="864"/>
      <c r="BE13" s="864"/>
      <c r="BF13" s="864"/>
      <c r="BG13" s="864"/>
      <c r="BH13" s="821"/>
    </row>
    <row r="14" spans="1:60" s="420" customFormat="1" ht="15" x14ac:dyDescent="0.25">
      <c r="A14" s="178" t="s">
        <v>587</v>
      </c>
      <c r="B14" s="442"/>
      <c r="C14" s="864"/>
      <c r="D14" s="864">
        <v>236.6</v>
      </c>
      <c r="E14" s="864">
        <v>650.48</v>
      </c>
      <c r="F14" s="864">
        <v>540.346</v>
      </c>
      <c r="G14" s="867">
        <v>535.61699999999996</v>
      </c>
      <c r="H14" s="867">
        <v>830.53599999999994</v>
      </c>
      <c r="I14" s="867">
        <v>803.94200000000001</v>
      </c>
      <c r="J14" s="867">
        <f>K14</f>
        <v>929.64499999999998</v>
      </c>
      <c r="K14" s="864">
        <v>929.64499999999998</v>
      </c>
      <c r="L14" s="867">
        <v>630.51800000000003</v>
      </c>
      <c r="M14" s="867">
        <v>653.40800000000002</v>
      </c>
      <c r="N14" s="867">
        <v>1071.2380000000001</v>
      </c>
      <c r="O14" s="867">
        <f>P14</f>
        <v>1164.308</v>
      </c>
      <c r="P14" s="864">
        <v>1164.308</v>
      </c>
      <c r="Q14" s="867">
        <v>1071.2909999999999</v>
      </c>
      <c r="R14" s="867">
        <v>961.78399999999999</v>
      </c>
      <c r="S14" s="867">
        <v>908.11099999999999</v>
      </c>
      <c r="T14" s="867">
        <f>U14</f>
        <v>891.86400000000003</v>
      </c>
      <c r="U14" s="864">
        <v>891.86400000000003</v>
      </c>
      <c r="V14" s="867">
        <v>1256.0409999999999</v>
      </c>
      <c r="W14" s="867">
        <v>1220.827</v>
      </c>
      <c r="X14" s="867">
        <v>1489.933</v>
      </c>
      <c r="Y14" s="867">
        <f>Z14</f>
        <v>1386.934</v>
      </c>
      <c r="Z14" s="864">
        <v>1386.934</v>
      </c>
      <c r="AA14" s="867">
        <v>1562.941</v>
      </c>
      <c r="AB14" s="867">
        <v>1488.76</v>
      </c>
      <c r="AC14" s="867">
        <v>1918.123</v>
      </c>
      <c r="AD14" s="867">
        <f>AE14</f>
        <v>1894.001</v>
      </c>
      <c r="AE14" s="864">
        <v>1894.001</v>
      </c>
      <c r="AF14" s="867">
        <v>1849.029</v>
      </c>
      <c r="AG14" s="867">
        <v>1718.511</v>
      </c>
      <c r="AH14" s="867">
        <v>1590.9760000000001</v>
      </c>
      <c r="AI14" s="867">
        <f>AJ14</f>
        <v>1684.5820000000001</v>
      </c>
      <c r="AJ14" s="864">
        <v>1684.5820000000001</v>
      </c>
      <c r="AK14" s="867">
        <v>1480.67</v>
      </c>
      <c r="AL14" s="867">
        <v>1341.4480000000001</v>
      </c>
      <c r="AM14" s="867">
        <v>1586.731</v>
      </c>
      <c r="AN14" s="867">
        <f>AO14</f>
        <v>2041.34</v>
      </c>
      <c r="AO14" s="864">
        <v>2041.34</v>
      </c>
      <c r="AP14" s="867">
        <v>1974.855</v>
      </c>
      <c r="AQ14" s="867">
        <v>1941.731</v>
      </c>
      <c r="AR14" s="867">
        <v>1956.5650000000001</v>
      </c>
      <c r="AS14" s="867">
        <f>AT14</f>
        <v>1973.0909999999999</v>
      </c>
      <c r="AT14" s="864">
        <v>1973.0909999999999</v>
      </c>
      <c r="AU14" s="867">
        <v>2259.8209999999999</v>
      </c>
      <c r="AV14" s="867">
        <v>2688.616</v>
      </c>
      <c r="AW14" s="868">
        <v>2860.8710000000001</v>
      </c>
      <c r="AX14" s="867"/>
      <c r="AY14" s="864"/>
      <c r="AZ14" s="867"/>
      <c r="BA14" s="867"/>
      <c r="BB14" s="867"/>
      <c r="BC14" s="867"/>
      <c r="BD14" s="864"/>
      <c r="BE14" s="864"/>
      <c r="BF14" s="864"/>
      <c r="BG14" s="864"/>
      <c r="BH14" s="821"/>
    </row>
    <row r="15" spans="1:60" s="420" customFormat="1" ht="15" x14ac:dyDescent="0.25">
      <c r="A15" s="334" t="s">
        <v>588</v>
      </c>
      <c r="B15" s="335"/>
      <c r="C15" s="881"/>
      <c r="D15" s="881">
        <v>0</v>
      </c>
      <c r="E15" s="881">
        <v>74.695999999999998</v>
      </c>
      <c r="F15" s="886">
        <v>78.483000000000004</v>
      </c>
      <c r="G15" s="882">
        <v>63.713000000000001</v>
      </c>
      <c r="H15" s="882">
        <v>140.17699999999999</v>
      </c>
      <c r="I15" s="882">
        <v>105.611</v>
      </c>
      <c r="J15" s="885">
        <f>K15</f>
        <v>83.284000000000006</v>
      </c>
      <c r="K15" s="886">
        <v>83.284000000000006</v>
      </c>
      <c r="L15" s="882">
        <v>43.802999999999997</v>
      </c>
      <c r="M15" s="882">
        <v>37.895000000000003</v>
      </c>
      <c r="N15" s="882">
        <v>35.238999999999997</v>
      </c>
      <c r="O15" s="885">
        <f>P15</f>
        <v>44.052999999999997</v>
      </c>
      <c r="P15" s="886">
        <v>44.052999999999997</v>
      </c>
      <c r="Q15" s="882">
        <v>57.228999999999999</v>
      </c>
      <c r="R15" s="882">
        <v>49.307000000000002</v>
      </c>
      <c r="S15" s="882">
        <v>46.768000000000001</v>
      </c>
      <c r="T15" s="885">
        <f>U15</f>
        <v>58.048000000000002</v>
      </c>
      <c r="U15" s="886">
        <v>58.048000000000002</v>
      </c>
      <c r="V15" s="882">
        <v>155.87200000000001</v>
      </c>
      <c r="W15" s="882">
        <v>122.371</v>
      </c>
      <c r="X15" s="882">
        <v>197.9</v>
      </c>
      <c r="Y15" s="885">
        <f>Z15</f>
        <v>160.60599999999999</v>
      </c>
      <c r="Z15" s="886">
        <v>160.60599999999999</v>
      </c>
      <c r="AA15" s="882">
        <v>187.59200000000001</v>
      </c>
      <c r="AB15" s="882">
        <v>156.63999999999999</v>
      </c>
      <c r="AC15" s="882">
        <v>171.43799999999999</v>
      </c>
      <c r="AD15" s="885">
        <f>AE15</f>
        <v>143.535</v>
      </c>
      <c r="AE15" s="886">
        <v>143.535</v>
      </c>
      <c r="AF15" s="882">
        <v>123.27200000000001</v>
      </c>
      <c r="AG15" s="882">
        <v>93.001000000000005</v>
      </c>
      <c r="AH15" s="882">
        <v>90.23</v>
      </c>
      <c r="AI15" s="885">
        <f>AJ15</f>
        <v>148.334</v>
      </c>
      <c r="AJ15" s="886">
        <v>148.334</v>
      </c>
      <c r="AK15" s="882">
        <v>136.892</v>
      </c>
      <c r="AL15" s="882">
        <v>137.48099999999999</v>
      </c>
      <c r="AM15" s="882">
        <v>478.76</v>
      </c>
      <c r="AN15" s="885">
        <f>AO15</f>
        <v>618.64400000000001</v>
      </c>
      <c r="AO15" s="886">
        <v>618.64400000000001</v>
      </c>
      <c r="AP15" s="885">
        <v>516.79200000000003</v>
      </c>
      <c r="AQ15" s="882">
        <v>460.36799999999999</v>
      </c>
      <c r="AR15" s="882">
        <v>442.76900000000001</v>
      </c>
      <c r="AS15" s="885">
        <f>AT15</f>
        <v>445.30799999999999</v>
      </c>
      <c r="AT15" s="886">
        <v>445.30799999999999</v>
      </c>
      <c r="AU15" s="885">
        <v>767.98</v>
      </c>
      <c r="AV15" s="882">
        <v>740.476</v>
      </c>
      <c r="AW15" s="883">
        <v>595.48299999999995</v>
      </c>
      <c r="AX15" s="882"/>
      <c r="AY15" s="881"/>
      <c r="AZ15" s="882"/>
      <c r="BA15" s="882"/>
      <c r="BB15" s="882"/>
      <c r="BC15" s="882"/>
      <c r="BD15" s="881"/>
      <c r="BE15" s="881"/>
      <c r="BF15" s="881"/>
      <c r="BG15" s="881"/>
      <c r="BH15" s="821"/>
    </row>
    <row r="16" spans="1:60" s="630" customFormat="1" ht="15" x14ac:dyDescent="0.25">
      <c r="A16" s="61" t="s">
        <v>583</v>
      </c>
      <c r="B16" s="493"/>
      <c r="C16" s="874"/>
      <c r="D16" s="874">
        <f t="shared" ref="D16:AW16" si="5">SUM(D12:D15)</f>
        <v>1299.1759999999999</v>
      </c>
      <c r="E16" s="874">
        <f t="shared" si="5"/>
        <v>3907.1979999999999</v>
      </c>
      <c r="F16" s="874">
        <f t="shared" si="5"/>
        <v>5633.6849999999995</v>
      </c>
      <c r="G16" s="879">
        <f t="shared" si="5"/>
        <v>5672.4860000000008</v>
      </c>
      <c r="H16" s="879">
        <f t="shared" si="5"/>
        <v>6368.1049999999996</v>
      </c>
      <c r="I16" s="879">
        <f t="shared" si="5"/>
        <v>6505.3510000000006</v>
      </c>
      <c r="J16" s="879">
        <f t="shared" si="5"/>
        <v>7252.1610000000001</v>
      </c>
      <c r="K16" s="874">
        <f t="shared" si="5"/>
        <v>7252.1610000000001</v>
      </c>
      <c r="L16" s="879">
        <f t="shared" si="5"/>
        <v>7123.2089999999998</v>
      </c>
      <c r="M16" s="879">
        <f t="shared" si="5"/>
        <v>7728.0500000000011</v>
      </c>
      <c r="N16" s="879">
        <f t="shared" si="5"/>
        <v>8857.226999999999</v>
      </c>
      <c r="O16" s="879">
        <f t="shared" si="5"/>
        <v>9451.112000000001</v>
      </c>
      <c r="P16" s="874">
        <f t="shared" si="5"/>
        <v>9451.112000000001</v>
      </c>
      <c r="Q16" s="879">
        <f t="shared" si="5"/>
        <v>9780.2619999999988</v>
      </c>
      <c r="R16" s="879">
        <f t="shared" si="5"/>
        <v>10073.409</v>
      </c>
      <c r="S16" s="879">
        <f t="shared" si="5"/>
        <v>10378.218000000001</v>
      </c>
      <c r="T16" s="879">
        <f t="shared" si="5"/>
        <v>10902.231</v>
      </c>
      <c r="U16" s="874">
        <f t="shared" si="5"/>
        <v>10902.231</v>
      </c>
      <c r="V16" s="879">
        <f t="shared" si="5"/>
        <v>12318.232999999998</v>
      </c>
      <c r="W16" s="879">
        <f t="shared" si="5"/>
        <v>13194.008999999998</v>
      </c>
      <c r="X16" s="879">
        <f t="shared" si="5"/>
        <v>14353.045</v>
      </c>
      <c r="Y16" s="879">
        <f t="shared" si="5"/>
        <v>14479.486999999999</v>
      </c>
      <c r="Z16" s="874">
        <f t="shared" si="5"/>
        <v>14479.486999999999</v>
      </c>
      <c r="AA16" s="879">
        <f t="shared" si="5"/>
        <v>15290.134</v>
      </c>
      <c r="AB16" s="879">
        <f t="shared" si="5"/>
        <v>15699.387000000001</v>
      </c>
      <c r="AC16" s="879">
        <f t="shared" si="5"/>
        <v>16991.929999999997</v>
      </c>
      <c r="AD16" s="879">
        <f t="shared" si="5"/>
        <v>17694.642</v>
      </c>
      <c r="AE16" s="874">
        <f t="shared" si="5"/>
        <v>17694.642</v>
      </c>
      <c r="AF16" s="879">
        <f t="shared" si="5"/>
        <v>17937.682000000001</v>
      </c>
      <c r="AG16" s="879">
        <f t="shared" si="5"/>
        <v>18398.766</v>
      </c>
      <c r="AH16" s="879">
        <f t="shared" si="5"/>
        <v>18645.758000000002</v>
      </c>
      <c r="AI16" s="879">
        <f t="shared" si="5"/>
        <v>19285.874999999996</v>
      </c>
      <c r="AJ16" s="874">
        <f t="shared" si="5"/>
        <v>19285.874999999996</v>
      </c>
      <c r="AK16" s="879">
        <f t="shared" si="5"/>
        <v>18922.788999999997</v>
      </c>
      <c r="AL16" s="879">
        <f t="shared" si="5"/>
        <v>18502.816999999999</v>
      </c>
      <c r="AM16" s="879">
        <f t="shared" si="5"/>
        <v>19141.542999999998</v>
      </c>
      <c r="AN16" s="879">
        <f t="shared" si="5"/>
        <v>19490.081999999999</v>
      </c>
      <c r="AO16" s="874">
        <f t="shared" si="5"/>
        <v>19490.081999999999</v>
      </c>
      <c r="AP16" s="879">
        <f t="shared" si="5"/>
        <v>19174.038</v>
      </c>
      <c r="AQ16" s="879">
        <f t="shared" si="5"/>
        <v>19133.34</v>
      </c>
      <c r="AR16" s="879">
        <f t="shared" si="5"/>
        <v>19072.253999999997</v>
      </c>
      <c r="AS16" s="879">
        <f t="shared" si="5"/>
        <v>19218.830000000002</v>
      </c>
      <c r="AT16" s="874">
        <f t="shared" si="5"/>
        <v>19218.830000000002</v>
      </c>
      <c r="AU16" s="879">
        <f t="shared" si="5"/>
        <v>20725.165000000001</v>
      </c>
      <c r="AV16" s="879">
        <f t="shared" si="5"/>
        <v>21863.143999999997</v>
      </c>
      <c r="AW16" s="880">
        <f t="shared" si="5"/>
        <v>22465.54</v>
      </c>
      <c r="AX16" s="879"/>
      <c r="AY16" s="874"/>
      <c r="AZ16" s="879"/>
      <c r="BA16" s="879"/>
      <c r="BB16" s="879"/>
      <c r="BC16" s="879"/>
      <c r="BD16" s="874"/>
      <c r="BE16" s="874"/>
      <c r="BF16" s="874"/>
      <c r="BG16" s="874"/>
      <c r="BH16" s="824"/>
    </row>
    <row r="17" spans="1:60" s="57" customFormat="1" ht="15" x14ac:dyDescent="0.25">
      <c r="A17" s="682"/>
      <c r="B17" s="442"/>
      <c r="C17" s="864"/>
      <c r="D17" s="864"/>
      <c r="E17" s="864"/>
      <c r="F17" s="864"/>
      <c r="G17" s="867"/>
      <c r="H17" s="867"/>
      <c r="I17" s="867"/>
      <c r="J17" s="867"/>
      <c r="K17" s="864"/>
      <c r="L17" s="867"/>
      <c r="M17" s="867"/>
      <c r="N17" s="867"/>
      <c r="O17" s="867"/>
      <c r="P17" s="864"/>
      <c r="Q17" s="867"/>
      <c r="R17" s="867"/>
      <c r="S17" s="867"/>
      <c r="T17" s="867"/>
      <c r="U17" s="864"/>
      <c r="V17" s="867"/>
      <c r="W17" s="867"/>
      <c r="X17" s="867"/>
      <c r="Y17" s="867"/>
      <c r="Z17" s="864"/>
      <c r="AA17" s="867"/>
      <c r="AB17" s="867"/>
      <c r="AC17" s="867"/>
      <c r="AD17" s="867"/>
      <c r="AE17" s="864"/>
      <c r="AF17" s="867"/>
      <c r="AG17" s="867"/>
      <c r="AH17" s="867"/>
      <c r="AI17" s="867"/>
      <c r="AJ17" s="864"/>
      <c r="AK17" s="867"/>
      <c r="AL17" s="867"/>
      <c r="AM17" s="867"/>
      <c r="AN17" s="867"/>
      <c r="AO17" s="864"/>
      <c r="AP17" s="867"/>
      <c r="AQ17" s="867"/>
      <c r="AR17" s="867"/>
      <c r="AS17" s="867"/>
      <c r="AT17" s="864"/>
      <c r="AU17" s="867"/>
      <c r="AV17" s="867"/>
      <c r="AW17" s="868"/>
      <c r="AX17" s="867"/>
      <c r="AY17" s="864"/>
      <c r="AZ17" s="867"/>
      <c r="BA17" s="867"/>
      <c r="BB17" s="867"/>
      <c r="BC17" s="867"/>
      <c r="BD17" s="864"/>
      <c r="BE17" s="864"/>
      <c r="BF17" s="864"/>
      <c r="BG17" s="864"/>
      <c r="BH17" s="821"/>
    </row>
    <row r="18" spans="1:60" s="709" customFormat="1" ht="15" x14ac:dyDescent="0.25">
      <c r="A18" s="845" t="s">
        <v>765</v>
      </c>
      <c r="B18" s="845"/>
      <c r="C18" s="967"/>
      <c r="D18" s="967"/>
      <c r="E18" s="967"/>
      <c r="F18" s="967"/>
      <c r="G18" s="967"/>
      <c r="H18" s="967"/>
      <c r="I18" s="967"/>
      <c r="J18" s="967"/>
      <c r="K18" s="967"/>
      <c r="L18" s="967"/>
      <c r="M18" s="967"/>
      <c r="N18" s="967"/>
      <c r="O18" s="967"/>
      <c r="P18" s="967"/>
      <c r="Q18" s="967"/>
      <c r="R18" s="967"/>
      <c r="S18" s="967"/>
      <c r="T18" s="967"/>
      <c r="U18" s="967"/>
      <c r="V18" s="967"/>
      <c r="W18" s="967"/>
      <c r="X18" s="967"/>
      <c r="Y18" s="967"/>
      <c r="Z18" s="967"/>
      <c r="AA18" s="967"/>
      <c r="AB18" s="967"/>
      <c r="AC18" s="967"/>
      <c r="AD18" s="967"/>
      <c r="AE18" s="967"/>
      <c r="AF18" s="967"/>
      <c r="AG18" s="967"/>
      <c r="AH18" s="967"/>
      <c r="AI18" s="967"/>
      <c r="AJ18" s="967"/>
      <c r="AK18" s="967"/>
      <c r="AL18" s="967"/>
      <c r="AM18" s="967"/>
      <c r="AN18" s="967"/>
      <c r="AO18" s="967"/>
      <c r="AP18" s="967"/>
      <c r="AQ18" s="967"/>
      <c r="AR18" s="967"/>
      <c r="AS18" s="967"/>
      <c r="AT18" s="967"/>
      <c r="AU18" s="967"/>
      <c r="AV18" s="967"/>
      <c r="AW18" s="968"/>
      <c r="AX18" s="969"/>
      <c r="AY18" s="969"/>
      <c r="AZ18" s="969"/>
      <c r="BA18" s="969"/>
      <c r="BB18" s="969"/>
      <c r="BC18" s="969"/>
      <c r="BD18" s="969"/>
      <c r="BE18" s="969"/>
      <c r="BF18" s="969"/>
      <c r="BG18" s="969"/>
      <c r="BH18" s="714"/>
    </row>
    <row r="19" spans="1:60" s="376" customFormat="1" ht="15" x14ac:dyDescent="0.25">
      <c r="A19" s="279" t="s">
        <v>769</v>
      </c>
      <c r="B19" s="484"/>
      <c r="C19" s="803"/>
      <c r="D19" s="803"/>
      <c r="E19" s="803"/>
      <c r="F19" s="803"/>
      <c r="G19" s="406"/>
      <c r="H19" s="406"/>
      <c r="I19" s="406"/>
      <c r="J19" s="406"/>
      <c r="K19" s="803"/>
      <c r="L19" s="406"/>
      <c r="M19" s="406"/>
      <c r="N19" s="406"/>
      <c r="O19" s="406"/>
      <c r="P19" s="803"/>
      <c r="Q19" s="406"/>
      <c r="R19" s="406"/>
      <c r="S19" s="406"/>
      <c r="T19" s="406"/>
      <c r="U19" s="803"/>
      <c r="V19" s="406"/>
      <c r="W19" s="406"/>
      <c r="X19" s="406"/>
      <c r="Y19" s="406"/>
      <c r="Z19" s="803"/>
      <c r="AA19" s="406"/>
      <c r="AB19" s="406"/>
      <c r="AC19" s="406"/>
      <c r="AD19" s="406"/>
      <c r="AE19" s="803"/>
      <c r="AF19" s="406"/>
      <c r="AG19" s="406"/>
      <c r="AH19" s="406"/>
      <c r="AI19" s="406"/>
      <c r="AJ19" s="803"/>
      <c r="AK19" s="406"/>
      <c r="AL19" s="406"/>
      <c r="AM19" s="406"/>
      <c r="AN19" s="406"/>
      <c r="AO19" s="803"/>
      <c r="AP19" s="406"/>
      <c r="AQ19" s="406"/>
      <c r="AR19" s="406"/>
      <c r="AS19" s="406"/>
      <c r="AT19" s="803">
        <v>7600</v>
      </c>
      <c r="AU19" s="406"/>
      <c r="AV19" s="406"/>
      <c r="AW19" s="572"/>
      <c r="AX19" s="406"/>
      <c r="AY19" s="803"/>
      <c r="AZ19" s="406"/>
      <c r="BA19" s="406"/>
      <c r="BB19" s="406"/>
      <c r="BC19" s="406"/>
      <c r="BD19" s="803"/>
      <c r="BE19" s="803"/>
      <c r="BF19" s="803"/>
      <c r="BG19" s="803"/>
      <c r="BH19" s="280"/>
    </row>
    <row r="20" spans="1:60" s="376" customFormat="1" ht="15" x14ac:dyDescent="0.25">
      <c r="A20" s="279" t="s">
        <v>770</v>
      </c>
      <c r="B20" s="484"/>
      <c r="C20" s="803"/>
      <c r="D20" s="803"/>
      <c r="E20" s="803"/>
      <c r="F20" s="803"/>
      <c r="G20" s="406"/>
      <c r="H20" s="406"/>
      <c r="I20" s="406"/>
      <c r="J20" s="406"/>
      <c r="K20" s="803"/>
      <c r="L20" s="406"/>
      <c r="M20" s="406"/>
      <c r="N20" s="406"/>
      <c r="O20" s="406"/>
      <c r="P20" s="803"/>
      <c r="Q20" s="406"/>
      <c r="R20" s="406"/>
      <c r="S20" s="406"/>
      <c r="T20" s="406"/>
      <c r="U20" s="803"/>
      <c r="V20" s="406"/>
      <c r="W20" s="406"/>
      <c r="X20" s="406"/>
      <c r="Y20" s="406"/>
      <c r="Z20" s="803"/>
      <c r="AA20" s="406"/>
      <c r="AB20" s="406"/>
      <c r="AC20" s="406"/>
      <c r="AD20" s="406"/>
      <c r="AE20" s="803"/>
      <c r="AF20" s="406"/>
      <c r="AG20" s="406"/>
      <c r="AH20" s="406"/>
      <c r="AI20" s="406"/>
      <c r="AJ20" s="803"/>
      <c r="AK20" s="406"/>
      <c r="AL20" s="406"/>
      <c r="AM20" s="406"/>
      <c r="AN20" s="406"/>
      <c r="AO20" s="803"/>
      <c r="AP20" s="406"/>
      <c r="AQ20" s="406"/>
      <c r="AR20" s="406"/>
      <c r="AS20" s="406"/>
      <c r="AT20" s="803">
        <v>1000</v>
      </c>
      <c r="AU20" s="406"/>
      <c r="AV20" s="406"/>
      <c r="AW20" s="572"/>
      <c r="AX20" s="406"/>
      <c r="AY20" s="803"/>
      <c r="AZ20" s="406"/>
      <c r="BA20" s="406"/>
      <c r="BB20" s="406"/>
      <c r="BC20" s="406"/>
      <c r="BD20" s="803"/>
      <c r="BE20" s="803"/>
      <c r="BF20" s="803"/>
      <c r="BG20" s="803"/>
      <c r="BH20" s="280"/>
    </row>
    <row r="21" spans="1:60" s="376" customFormat="1" ht="15" x14ac:dyDescent="0.25">
      <c r="A21" s="279" t="s">
        <v>771</v>
      </c>
      <c r="B21" s="484"/>
      <c r="C21" s="803"/>
      <c r="D21" s="803"/>
      <c r="E21" s="803"/>
      <c r="F21" s="803"/>
      <c r="G21" s="406"/>
      <c r="H21" s="406"/>
      <c r="I21" s="406"/>
      <c r="J21" s="406"/>
      <c r="K21" s="803"/>
      <c r="L21" s="406"/>
      <c r="M21" s="406"/>
      <c r="N21" s="406"/>
      <c r="O21" s="406"/>
      <c r="P21" s="803"/>
      <c r="Q21" s="406"/>
      <c r="R21" s="406"/>
      <c r="S21" s="406"/>
      <c r="T21" s="406"/>
      <c r="U21" s="803"/>
      <c r="V21" s="406"/>
      <c r="W21" s="406"/>
      <c r="X21" s="406"/>
      <c r="Y21" s="406"/>
      <c r="Z21" s="803"/>
      <c r="AA21" s="406"/>
      <c r="AB21" s="406"/>
      <c r="AC21" s="406"/>
      <c r="AD21" s="406"/>
      <c r="AE21" s="803"/>
      <c r="AF21" s="406"/>
      <c r="AG21" s="406"/>
      <c r="AH21" s="406"/>
      <c r="AI21" s="406"/>
      <c r="AJ21" s="803"/>
      <c r="AK21" s="406"/>
      <c r="AL21" s="406"/>
      <c r="AM21" s="406"/>
      <c r="AN21" s="406"/>
      <c r="AO21" s="803"/>
      <c r="AP21" s="406"/>
      <c r="AQ21" s="406"/>
      <c r="AR21" s="406"/>
      <c r="AS21" s="406"/>
      <c r="AT21" s="803">
        <v>200</v>
      </c>
      <c r="AU21" s="406"/>
      <c r="AV21" s="406"/>
      <c r="AW21" s="572"/>
      <c r="AX21" s="406"/>
      <c r="AY21" s="803"/>
      <c r="AZ21" s="406"/>
      <c r="BA21" s="406"/>
      <c r="BB21" s="406"/>
      <c r="BC21" s="406"/>
      <c r="BD21" s="803"/>
      <c r="BE21" s="803"/>
      <c r="BF21" s="803"/>
      <c r="BG21" s="803"/>
      <c r="BH21" s="280"/>
    </row>
    <row r="22" spans="1:60" s="376" customFormat="1" ht="15" x14ac:dyDescent="0.25">
      <c r="A22" s="401" t="s">
        <v>772</v>
      </c>
      <c r="B22" s="488"/>
      <c r="C22" s="548"/>
      <c r="D22" s="548"/>
      <c r="E22" s="548"/>
      <c r="F22" s="548"/>
      <c r="G22" s="489"/>
      <c r="H22" s="489"/>
      <c r="I22" s="489"/>
      <c r="J22" s="489"/>
      <c r="K22" s="548"/>
      <c r="L22" s="489"/>
      <c r="M22" s="489"/>
      <c r="N22" s="489"/>
      <c r="O22" s="489"/>
      <c r="P22" s="548"/>
      <c r="Q22" s="489"/>
      <c r="R22" s="489"/>
      <c r="S22" s="489"/>
      <c r="T22" s="489"/>
      <c r="U22" s="548"/>
      <c r="V22" s="489"/>
      <c r="W22" s="489"/>
      <c r="X22" s="489"/>
      <c r="Y22" s="489"/>
      <c r="Z22" s="548"/>
      <c r="AA22" s="489"/>
      <c r="AB22" s="489"/>
      <c r="AC22" s="489"/>
      <c r="AD22" s="489"/>
      <c r="AE22" s="548"/>
      <c r="AF22" s="489"/>
      <c r="AG22" s="489"/>
      <c r="AH22" s="489"/>
      <c r="AI22" s="489"/>
      <c r="AJ22" s="548"/>
      <c r="AK22" s="489"/>
      <c r="AL22" s="489"/>
      <c r="AM22" s="489"/>
      <c r="AN22" s="489"/>
      <c r="AO22" s="548"/>
      <c r="AP22" s="489"/>
      <c r="AQ22" s="489"/>
      <c r="AR22" s="489"/>
      <c r="AS22" s="489"/>
      <c r="AT22" s="548">
        <v>600</v>
      </c>
      <c r="AU22" s="489"/>
      <c r="AV22" s="489"/>
      <c r="AW22" s="575"/>
      <c r="AX22" s="489"/>
      <c r="AY22" s="548"/>
      <c r="AZ22" s="489"/>
      <c r="BA22" s="489"/>
      <c r="BB22" s="489"/>
      <c r="BC22" s="489"/>
      <c r="BD22" s="548"/>
      <c r="BE22" s="548"/>
      <c r="BF22" s="548"/>
      <c r="BG22" s="548"/>
      <c r="BH22" s="280"/>
    </row>
    <row r="23" spans="1:60" s="378" customFormat="1" ht="15" x14ac:dyDescent="0.25">
      <c r="A23" s="379" t="s">
        <v>773</v>
      </c>
      <c r="B23" s="487"/>
      <c r="C23" s="400">
        <v>1883</v>
      </c>
      <c r="D23" s="400">
        <v>2180</v>
      </c>
      <c r="E23" s="400">
        <v>2348</v>
      </c>
      <c r="F23" s="377">
        <v>2045</v>
      </c>
      <c r="G23" s="399"/>
      <c r="H23" s="399"/>
      <c r="I23" s="399"/>
      <c r="J23" s="399"/>
      <c r="K23" s="377">
        <v>2022</v>
      </c>
      <c r="L23" s="399"/>
      <c r="M23" s="399"/>
      <c r="N23" s="399"/>
      <c r="O23" s="399"/>
      <c r="P23" s="377">
        <v>2189</v>
      </c>
      <c r="Q23" s="399"/>
      <c r="R23" s="399"/>
      <c r="S23" s="399"/>
      <c r="T23" s="399"/>
      <c r="U23" s="377">
        <v>3500</v>
      </c>
      <c r="V23" s="399"/>
      <c r="W23" s="399"/>
      <c r="X23" s="399"/>
      <c r="Y23" s="399"/>
      <c r="Z23" s="400">
        <v>4500</v>
      </c>
      <c r="AA23" s="399"/>
      <c r="AB23" s="399"/>
      <c r="AC23" s="399"/>
      <c r="AD23" s="399"/>
      <c r="AE23" s="400">
        <v>5400</v>
      </c>
      <c r="AF23" s="399"/>
      <c r="AG23" s="399"/>
      <c r="AH23" s="399"/>
      <c r="AI23" s="399"/>
      <c r="AJ23" s="400">
        <v>7100</v>
      </c>
      <c r="AK23" s="399"/>
      <c r="AL23" s="399"/>
      <c r="AM23" s="399"/>
      <c r="AN23" s="399"/>
      <c r="AO23" s="400">
        <v>8600</v>
      </c>
      <c r="AP23" s="399"/>
      <c r="AQ23" s="399"/>
      <c r="AR23" s="399"/>
      <c r="AS23" s="399"/>
      <c r="AT23" s="400">
        <f>SUM(AT19:AT22)</f>
        <v>9400</v>
      </c>
      <c r="AU23" s="399"/>
      <c r="AV23" s="399"/>
      <c r="AW23" s="574"/>
      <c r="AX23" s="399"/>
      <c r="AY23" s="400"/>
      <c r="AZ23" s="399"/>
      <c r="BA23" s="399"/>
      <c r="BB23" s="399"/>
      <c r="BC23" s="399"/>
      <c r="BD23" s="400"/>
      <c r="BE23" s="400"/>
      <c r="BF23" s="400"/>
      <c r="BG23" s="400"/>
      <c r="BH23" s="89"/>
    </row>
    <row r="24" spans="1:60" s="57" customFormat="1" ht="15" x14ac:dyDescent="0.25">
      <c r="A24" s="682"/>
      <c r="B24" s="442"/>
      <c r="C24" s="864"/>
      <c r="D24" s="864"/>
      <c r="E24" s="864"/>
      <c r="F24" s="864"/>
      <c r="G24" s="867"/>
      <c r="H24" s="867"/>
      <c r="I24" s="867"/>
      <c r="J24" s="867"/>
      <c r="K24" s="864"/>
      <c r="L24" s="867"/>
      <c r="M24" s="867"/>
      <c r="N24" s="867"/>
      <c r="O24" s="867"/>
      <c r="P24" s="864"/>
      <c r="Q24" s="867"/>
      <c r="R24" s="867"/>
      <c r="S24" s="867"/>
      <c r="T24" s="867"/>
      <c r="U24" s="864"/>
      <c r="V24" s="867"/>
      <c r="W24" s="867"/>
      <c r="X24" s="867"/>
      <c r="Y24" s="867"/>
      <c r="Z24" s="864"/>
      <c r="AA24" s="867"/>
      <c r="AB24" s="867"/>
      <c r="AC24" s="867"/>
      <c r="AD24" s="867"/>
      <c r="AE24" s="864"/>
      <c r="AF24" s="867"/>
      <c r="AG24" s="867"/>
      <c r="AH24" s="867"/>
      <c r="AI24" s="867"/>
      <c r="AJ24" s="864"/>
      <c r="AK24" s="867"/>
      <c r="AL24" s="867"/>
      <c r="AM24" s="867"/>
      <c r="AN24" s="867"/>
      <c r="AO24" s="864"/>
      <c r="AP24" s="867"/>
      <c r="AQ24" s="867"/>
      <c r="AR24" s="867"/>
      <c r="AS24" s="867"/>
      <c r="AT24" s="864"/>
      <c r="AU24" s="867"/>
      <c r="AV24" s="867"/>
      <c r="AW24" s="868"/>
      <c r="AX24" s="867"/>
      <c r="AY24" s="864"/>
      <c r="AZ24" s="867"/>
      <c r="BA24" s="867"/>
      <c r="BB24" s="867"/>
      <c r="BC24" s="867"/>
      <c r="BD24" s="864"/>
      <c r="BE24" s="864"/>
      <c r="BF24" s="864"/>
      <c r="BG24" s="864"/>
      <c r="BH24" s="821"/>
    </row>
    <row r="25" spans="1:60" s="709" customFormat="1" ht="15" x14ac:dyDescent="0.25">
      <c r="A25" s="845" t="s">
        <v>517</v>
      </c>
      <c r="B25" s="845"/>
      <c r="C25" s="967"/>
      <c r="D25" s="967"/>
      <c r="E25" s="967"/>
      <c r="F25" s="967"/>
      <c r="G25" s="967"/>
      <c r="H25" s="967"/>
      <c r="I25" s="967"/>
      <c r="J25" s="967"/>
      <c r="K25" s="967"/>
      <c r="L25" s="967"/>
      <c r="M25" s="967"/>
      <c r="N25" s="967"/>
      <c r="O25" s="967"/>
      <c r="P25" s="967"/>
      <c r="Q25" s="967"/>
      <c r="R25" s="967"/>
      <c r="S25" s="967"/>
      <c r="T25" s="967"/>
      <c r="U25" s="967"/>
      <c r="V25" s="967"/>
      <c r="W25" s="967"/>
      <c r="X25" s="967"/>
      <c r="Y25" s="967"/>
      <c r="Z25" s="967"/>
      <c r="AA25" s="967"/>
      <c r="AB25" s="967"/>
      <c r="AC25" s="967"/>
      <c r="AD25" s="967"/>
      <c r="AE25" s="967"/>
      <c r="AF25" s="967"/>
      <c r="AG25" s="967"/>
      <c r="AH25" s="967"/>
      <c r="AI25" s="967"/>
      <c r="AJ25" s="967"/>
      <c r="AK25" s="967"/>
      <c r="AL25" s="967"/>
      <c r="AM25" s="967"/>
      <c r="AN25" s="967"/>
      <c r="AO25" s="967"/>
      <c r="AP25" s="967"/>
      <c r="AQ25" s="967"/>
      <c r="AR25" s="967"/>
      <c r="AS25" s="967"/>
      <c r="AT25" s="967"/>
      <c r="AU25" s="967"/>
      <c r="AV25" s="967"/>
      <c r="AW25" s="968"/>
      <c r="AX25" s="969"/>
      <c r="AY25" s="969"/>
      <c r="AZ25" s="969"/>
      <c r="BA25" s="969"/>
      <c r="BB25" s="969"/>
      <c r="BC25" s="969"/>
      <c r="BD25" s="969"/>
      <c r="BE25" s="969"/>
      <c r="BF25" s="969"/>
      <c r="BG25" s="969"/>
      <c r="BH25" s="714"/>
    </row>
    <row r="26" spans="1:60" customFormat="1" ht="15" x14ac:dyDescent="0.25">
      <c r="A26" s="279" t="s">
        <v>13</v>
      </c>
      <c r="B26" s="442"/>
      <c r="C26" s="864"/>
      <c r="D26" s="864"/>
      <c r="E26" s="864"/>
      <c r="F26" s="865">
        <v>2184.8679999999999</v>
      </c>
      <c r="G26" s="866">
        <v>638.649</v>
      </c>
      <c r="H26" s="866">
        <v>671.08900000000006</v>
      </c>
      <c r="I26" s="866">
        <v>701.08299999999997</v>
      </c>
      <c r="J26" s="866">
        <f>K26-I26-H26-G26</f>
        <v>740.55399999999997</v>
      </c>
      <c r="K26" s="865">
        <v>2751.375</v>
      </c>
      <c r="L26" s="866">
        <v>798.61699999999996</v>
      </c>
      <c r="M26" s="866">
        <v>838.22500000000002</v>
      </c>
      <c r="N26" s="866">
        <v>877.15</v>
      </c>
      <c r="O26" s="866">
        <f>P26-N26-M26-L26</f>
        <v>917.44200000000023</v>
      </c>
      <c r="P26" s="865">
        <v>3431.4340000000002</v>
      </c>
      <c r="Q26" s="866">
        <v>984.53200000000004</v>
      </c>
      <c r="R26" s="866">
        <v>1025.913</v>
      </c>
      <c r="S26" s="866">
        <v>1063.961</v>
      </c>
      <c r="T26" s="866">
        <f>U26-Q26-R26-S26</f>
        <v>1105.9329999999998</v>
      </c>
      <c r="U26" s="865">
        <v>4180.3389999999999</v>
      </c>
      <c r="V26" s="866">
        <v>1161.241</v>
      </c>
      <c r="W26" s="866">
        <v>1208.271</v>
      </c>
      <c r="X26" s="866">
        <v>1304.3330000000001</v>
      </c>
      <c r="Y26" s="867">
        <f>Z26-V26-W26-X26</f>
        <v>1403.462</v>
      </c>
      <c r="Z26" s="864">
        <v>5077.3069999999998</v>
      </c>
      <c r="AA26" s="866">
        <v>1470.0419999999999</v>
      </c>
      <c r="AB26" s="866">
        <v>1505.499</v>
      </c>
      <c r="AC26" s="866">
        <v>1547.21</v>
      </c>
      <c r="AD26" s="867">
        <f>AE26-AA26-AB26-AC26</f>
        <v>1630.2740000000003</v>
      </c>
      <c r="AE26" s="864">
        <v>6153.0249999999996</v>
      </c>
      <c r="AF26" s="866">
        <v>1820.019</v>
      </c>
      <c r="AG26" s="866">
        <v>1893.222</v>
      </c>
      <c r="AH26" s="866">
        <v>1937.3140000000001</v>
      </c>
      <c r="AI26" s="867">
        <f>AJ26-AF26-AG26-AH26</f>
        <v>1996.0919999999999</v>
      </c>
      <c r="AJ26" s="864">
        <v>7646.6469999999999</v>
      </c>
      <c r="AK26" s="866">
        <v>2073.5549999999998</v>
      </c>
      <c r="AL26" s="866">
        <v>2299.1889999999999</v>
      </c>
      <c r="AM26" s="866">
        <v>2412.598</v>
      </c>
      <c r="AN26" s="867">
        <f>AO26-AK26-AL26-AM26</f>
        <v>2457.6629999999986</v>
      </c>
      <c r="AO26" s="864">
        <v>9243.0049999999992</v>
      </c>
      <c r="AP26" s="867"/>
      <c r="AQ26" s="867"/>
      <c r="AR26" s="867"/>
      <c r="AS26" s="867"/>
      <c r="AT26" s="864"/>
      <c r="AU26" s="867"/>
      <c r="AV26" s="867"/>
      <c r="AW26" s="868"/>
      <c r="AX26" s="867"/>
      <c r="AY26" s="864"/>
      <c r="AZ26" s="867"/>
      <c r="BA26" s="867"/>
      <c r="BB26" s="867"/>
      <c r="BC26" s="867"/>
      <c r="BD26" s="864"/>
      <c r="BE26" s="864"/>
      <c r="BF26" s="864"/>
      <c r="BG26" s="864"/>
      <c r="BH26" s="821"/>
    </row>
    <row r="27" spans="1:60" s="649" customFormat="1" ht="15" x14ac:dyDescent="0.25">
      <c r="A27" s="744" t="s">
        <v>668</v>
      </c>
      <c r="B27" s="643"/>
      <c r="C27" s="165"/>
      <c r="D27" s="165"/>
      <c r="E27" s="165"/>
      <c r="F27" s="165"/>
      <c r="G27" s="474"/>
      <c r="H27" s="474"/>
      <c r="I27" s="474"/>
      <c r="J27" s="474"/>
      <c r="K27" s="435">
        <f>'Supplemental Data'!K26/'Supplemental Data'!F26-1</f>
        <v>0.25928660221120903</v>
      </c>
      <c r="L27" s="436">
        <f>'Supplemental Data'!L26/'Supplemental Data'!G26-1</f>
        <v>0.2504787449757222</v>
      </c>
      <c r="M27" s="436">
        <f>'Supplemental Data'!M26/'Supplemental Data'!H26-1</f>
        <v>0.24905191412763417</v>
      </c>
      <c r="N27" s="436">
        <f>'Supplemental Data'!N26/'Supplemental Data'!I26-1</f>
        <v>0.2511357428435721</v>
      </c>
      <c r="O27" s="436">
        <f>'Supplemental Data'!O26/'Supplemental Data'!J26-1</f>
        <v>0.2388590163580242</v>
      </c>
      <c r="P27" s="435">
        <f>'Supplemental Data'!P26/'Supplemental Data'!K26-1</f>
        <v>0.24717059651992201</v>
      </c>
      <c r="Q27" s="436">
        <f>'Supplemental Data'!Q26/'Supplemental Data'!L26-1</f>
        <v>0.23279619642456906</v>
      </c>
      <c r="R27" s="436">
        <f>'Supplemental Data'!R26/'Supplemental Data'!M26-1</f>
        <v>0.22391124101524063</v>
      </c>
      <c r="S27" s="436">
        <f>'Supplemental Data'!S26/'Supplemental Data'!N26-1</f>
        <v>0.21297497577381286</v>
      </c>
      <c r="T27" s="436">
        <f>'Supplemental Data'!T26/'Supplemental Data'!O26-1</f>
        <v>0.2054527697663715</v>
      </c>
      <c r="U27" s="435">
        <f>'Supplemental Data'!U26/'Supplemental Data'!P26-1</f>
        <v>0.21824840576855031</v>
      </c>
      <c r="V27" s="436">
        <f>'Supplemental Data'!V26/'Supplemental Data'!Q26-1</f>
        <v>0.17948527828450467</v>
      </c>
      <c r="W27" s="436">
        <f>'Supplemental Data'!W26/'Supplemental Data'!R26-1</f>
        <v>0.17775191463603623</v>
      </c>
      <c r="X27" s="436">
        <f>'Supplemental Data'!X26/'Supplemental Data'!S26-1</f>
        <v>0.22592181480336215</v>
      </c>
      <c r="Y27" s="474">
        <f>'Supplemental Data'!Y26/'Supplemental Data'!T26-1</f>
        <v>0.26902985985588668</v>
      </c>
      <c r="Z27" s="165">
        <f>'Supplemental Data'!Z26/'Supplemental Data'!U26-1</f>
        <v>0.21456824434573374</v>
      </c>
      <c r="AA27" s="436">
        <f>'Supplemental Data'!AA26/'Supplemental Data'!V26-1</f>
        <v>0.2659232665742941</v>
      </c>
      <c r="AB27" s="436">
        <f>'Supplemental Data'!AB26/'Supplemental Data'!W26-1</f>
        <v>0.24599448302574523</v>
      </c>
      <c r="AC27" s="436">
        <f>'Supplemental Data'!AC26/'Supplemental Data'!X26-1</f>
        <v>0.18620781656218144</v>
      </c>
      <c r="AD27" s="474">
        <f>'Supplemental Data'!AD26/'Supplemental Data'!Y26-1</f>
        <v>0.16160893561777967</v>
      </c>
      <c r="AE27" s="165">
        <f>'Supplemental Data'!AE26/'Supplemental Data'!Z26-1</f>
        <v>0.21186782678297766</v>
      </c>
      <c r="AF27" s="436">
        <f>'Supplemental Data'!AF26/'Supplemental Data'!AA26-1</f>
        <v>0.23807278975702739</v>
      </c>
      <c r="AG27" s="436">
        <f>'Supplemental Data'!AG26/'Supplemental Data'!AB26-1</f>
        <v>0.25753786618257468</v>
      </c>
      <c r="AH27" s="436">
        <f>'Supplemental Data'!AH26/'Supplemental Data'!AC26-1</f>
        <v>0.25213384091364466</v>
      </c>
      <c r="AI27" s="474">
        <f>'Supplemental Data'!AI26/'Supplemental Data'!AD26-1</f>
        <v>0.22439050122862758</v>
      </c>
      <c r="AJ27" s="165">
        <f>'Supplemental Data'!AJ26/'Supplemental Data'!AE26-1</f>
        <v>0.24274596641489365</v>
      </c>
      <c r="AK27" s="436">
        <f>'Supplemental Data'!AK26/'Supplemental Data'!AF26-1</f>
        <v>0.13930404023254694</v>
      </c>
      <c r="AL27" s="436">
        <f>'Supplemental Data'!AL26/'Supplemental Data'!AG26-1</f>
        <v>0.21443179933467915</v>
      </c>
      <c r="AM27" s="436">
        <f>'Supplemental Data'!AM26/'Supplemental Data'!AH26-1</f>
        <v>0.24533142278432907</v>
      </c>
      <c r="AN27" s="474">
        <f>'Supplemental Data'!AN26/'Supplemental Data'!AI26-1</f>
        <v>0.23123733775797839</v>
      </c>
      <c r="AO27" s="165">
        <f>'Supplemental Data'!AO26/'Supplemental Data'!AJ26-1</f>
        <v>0.20876575053091884</v>
      </c>
      <c r="AP27" s="474"/>
      <c r="AQ27" s="474"/>
      <c r="AR27" s="474"/>
      <c r="AS27" s="474"/>
      <c r="AT27" s="165"/>
      <c r="AU27" s="474"/>
      <c r="AV27" s="474"/>
      <c r="AW27" s="598"/>
      <c r="AX27" s="474"/>
      <c r="AY27" s="165"/>
      <c r="AZ27" s="474"/>
      <c r="BA27" s="474"/>
      <c r="BB27" s="474"/>
      <c r="BC27" s="474"/>
      <c r="BD27" s="165"/>
      <c r="BE27" s="165"/>
      <c r="BF27" s="165"/>
      <c r="BG27" s="165"/>
      <c r="BH27" s="648"/>
    </row>
    <row r="28" spans="1:60" customFormat="1" ht="15" x14ac:dyDescent="0.25">
      <c r="A28" s="279" t="s">
        <v>14</v>
      </c>
      <c r="B28" s="442"/>
      <c r="C28" s="864"/>
      <c r="D28" s="864"/>
      <c r="E28" s="864"/>
      <c r="F28" s="865">
        <v>287.54199999999997</v>
      </c>
      <c r="G28" s="866">
        <v>142.01900000000001</v>
      </c>
      <c r="H28" s="866">
        <v>165.90199999999999</v>
      </c>
      <c r="I28" s="866">
        <v>183.05099999999999</v>
      </c>
      <c r="J28" s="866">
        <f>K28-I28-H28-G28</f>
        <v>221.41799999999995</v>
      </c>
      <c r="K28" s="865">
        <v>712.39</v>
      </c>
      <c r="L28" s="866">
        <v>267.11799999999999</v>
      </c>
      <c r="M28" s="866">
        <v>307.46100000000001</v>
      </c>
      <c r="N28" s="866">
        <v>345.685</v>
      </c>
      <c r="O28" s="866">
        <f>P28-N28-M28-L28</f>
        <v>387.79699999999997</v>
      </c>
      <c r="P28" s="865">
        <v>1308.0609999999999</v>
      </c>
      <c r="Q28" s="866">
        <v>415.39699999999999</v>
      </c>
      <c r="R28" s="866">
        <v>454.76299999999998</v>
      </c>
      <c r="S28" s="866">
        <v>516.87</v>
      </c>
      <c r="T28" s="866">
        <f>U28-Q28-R28-S28</f>
        <v>566.40500000000009</v>
      </c>
      <c r="U28" s="865">
        <v>1953.4349999999999</v>
      </c>
      <c r="V28" s="866">
        <v>651.74800000000005</v>
      </c>
      <c r="W28" s="866">
        <v>758.20100000000002</v>
      </c>
      <c r="X28" s="866">
        <v>853.48</v>
      </c>
      <c r="Y28" s="867">
        <f>Z28-V28-W28-X28</f>
        <v>947.66599999999971</v>
      </c>
      <c r="Z28" s="864">
        <v>3211.0949999999998</v>
      </c>
      <c r="AA28" s="866">
        <v>1046.1990000000001</v>
      </c>
      <c r="AB28" s="866">
        <v>1165.2280000000001</v>
      </c>
      <c r="AC28" s="866">
        <v>1327.4349999999999</v>
      </c>
      <c r="AD28" s="867">
        <f>AE28-AA28-AB28-AC28</f>
        <v>1550.3289999999997</v>
      </c>
      <c r="AE28" s="864">
        <v>5089.1909999999998</v>
      </c>
      <c r="AF28" s="866">
        <v>1782.086</v>
      </c>
      <c r="AG28" s="866">
        <v>1921.144</v>
      </c>
      <c r="AH28" s="866">
        <v>1973.2829999999999</v>
      </c>
      <c r="AI28" s="867">
        <f>AJ28-AF28-AG28-AH28</f>
        <v>2105.5919999999992</v>
      </c>
      <c r="AJ28" s="864">
        <v>7782.1049999999996</v>
      </c>
      <c r="AK28" s="866">
        <v>2366.7489999999998</v>
      </c>
      <c r="AL28" s="866">
        <v>2547.7269999999999</v>
      </c>
      <c r="AM28" s="866">
        <v>2760.43</v>
      </c>
      <c r="AN28" s="867">
        <f>AO28-AK28-AL28-AM28</f>
        <v>2941.3190000000009</v>
      </c>
      <c r="AO28" s="864">
        <v>10616.225</v>
      </c>
      <c r="AP28" s="867"/>
      <c r="AQ28" s="867"/>
      <c r="AR28" s="867"/>
      <c r="AS28" s="867"/>
      <c r="AT28" s="864"/>
      <c r="AU28" s="867"/>
      <c r="AV28" s="867"/>
      <c r="AW28" s="868"/>
      <c r="AX28" s="867"/>
      <c r="AY28" s="864"/>
      <c r="AZ28" s="867"/>
      <c r="BA28" s="867"/>
      <c r="BB28" s="867"/>
      <c r="BC28" s="867"/>
      <c r="BD28" s="864"/>
      <c r="BE28" s="864"/>
      <c r="BF28" s="864"/>
      <c r="BG28" s="864"/>
      <c r="BH28" s="821"/>
    </row>
    <row r="29" spans="1:60" s="649" customFormat="1" ht="15" x14ac:dyDescent="0.25">
      <c r="A29" s="744" t="s">
        <v>669</v>
      </c>
      <c r="B29" s="643"/>
      <c r="C29" s="165"/>
      <c r="D29" s="165"/>
      <c r="E29" s="165"/>
      <c r="F29" s="165"/>
      <c r="G29" s="474"/>
      <c r="H29" s="474"/>
      <c r="I29" s="474"/>
      <c r="J29" s="474"/>
      <c r="K29" s="435">
        <f>'Supplemental Data'!K28/'Supplemental Data'!F28-1</f>
        <v>1.4775163280494676</v>
      </c>
      <c r="L29" s="436">
        <f>'Supplemental Data'!L28/'Supplemental Data'!G28-1</f>
        <v>0.88086101155479191</v>
      </c>
      <c r="M29" s="436">
        <f>'Supplemental Data'!M28/'Supplemental Data'!H28-1</f>
        <v>0.85326879724174542</v>
      </c>
      <c r="N29" s="436">
        <f>'Supplemental Data'!N28/'Supplemental Data'!I28-1</f>
        <v>0.88846277813287022</v>
      </c>
      <c r="O29" s="436">
        <f>'Supplemental Data'!O28/'Supplemental Data'!J28-1</f>
        <v>0.75142490673748319</v>
      </c>
      <c r="P29" s="435">
        <f>'Supplemental Data'!P28/'Supplemental Data'!K28-1</f>
        <v>0.83615856483106166</v>
      </c>
      <c r="Q29" s="436">
        <f>'Supplemental Data'!Q28/'Supplemental Data'!L28-1</f>
        <v>0.55510673185633319</v>
      </c>
      <c r="R29" s="436">
        <f>'Supplemental Data'!R28/'Supplemental Data'!M28-1</f>
        <v>0.47909165715326485</v>
      </c>
      <c r="S29" s="436">
        <f>'Supplemental Data'!S28/'Supplemental Data'!N28-1</f>
        <v>0.4952051723389792</v>
      </c>
      <c r="T29" s="436">
        <f>'Supplemental Data'!T28/'Supplemental Data'!O28-1</f>
        <v>0.46057086568488192</v>
      </c>
      <c r="U29" s="435">
        <f>'Supplemental Data'!U28/'Supplemental Data'!P28-1</f>
        <v>0.4933821893627286</v>
      </c>
      <c r="V29" s="436">
        <f>'Supplemental Data'!V28/'Supplemental Data'!Q28-1</f>
        <v>0.56897618422858143</v>
      </c>
      <c r="W29" s="436">
        <f>'Supplemental Data'!W28/'Supplemental Data'!R28-1</f>
        <v>0.66724425689864852</v>
      </c>
      <c r="X29" s="436">
        <f>'Supplemental Data'!X28/'Supplemental Data'!S28-1</f>
        <v>0.65124692862808842</v>
      </c>
      <c r="Y29" s="474">
        <f>'Supplemental Data'!Y28/'Supplemental Data'!T28-1</f>
        <v>0.67312435448133323</v>
      </c>
      <c r="Z29" s="165">
        <f>'Supplemental Data'!Z28/'Supplemental Data'!U28-1</f>
        <v>0.64381973293198902</v>
      </c>
      <c r="AA29" s="436">
        <f>'Supplemental Data'!AA28/'Supplemental Data'!V28-1</f>
        <v>0.60522011575025925</v>
      </c>
      <c r="AB29" s="436">
        <f>'Supplemental Data'!AB28/'Supplemental Data'!W28-1</f>
        <v>0.53683258133397338</v>
      </c>
      <c r="AC29" s="436">
        <f>'Supplemental Data'!AC28/'Supplemental Data'!X28-1</f>
        <v>0.55532056990204803</v>
      </c>
      <c r="AD29" s="474">
        <f>'Supplemental Data'!AD28/'Supplemental Data'!Y28-1</f>
        <v>0.63594452053782691</v>
      </c>
      <c r="AE29" s="165">
        <f>'Supplemental Data'!AE28/'Supplemental Data'!Z28-1</f>
        <v>0.58487712135579928</v>
      </c>
      <c r="AF29" s="436">
        <f>'Supplemental Data'!AF28/'Supplemental Data'!AA28-1</f>
        <v>0.70339103746036824</v>
      </c>
      <c r="AG29" s="436">
        <f>'Supplemental Data'!AG28/'Supplemental Data'!AB28-1</f>
        <v>0.64872797426769679</v>
      </c>
      <c r="AH29" s="436">
        <f>'Supplemental Data'!AH28/'Supplemental Data'!AC28-1</f>
        <v>0.48653832391039864</v>
      </c>
      <c r="AI29" s="474">
        <f>'Supplemental Data'!AI28/'Supplemental Data'!AD28-1</f>
        <v>0.35815817158809482</v>
      </c>
      <c r="AJ29" s="165">
        <f>'Supplemental Data'!AJ28/'Supplemental Data'!AE28-1</f>
        <v>0.52914382659247794</v>
      </c>
      <c r="AK29" s="436">
        <f>'Supplemental Data'!AK28/'Supplemental Data'!AF28-1</f>
        <v>0.32807788176328168</v>
      </c>
      <c r="AL29" s="436">
        <f>'Supplemental Data'!AL28/'Supplemental Data'!AG28-1</f>
        <v>0.32615098087389582</v>
      </c>
      <c r="AM29" s="436">
        <f>'Supplemental Data'!AM28/'Supplemental Data'!AH28-1</f>
        <v>0.39890223551310178</v>
      </c>
      <c r="AN29" s="474">
        <f>'Supplemental Data'!AN28/'Supplemental Data'!AI28-1</f>
        <v>0.39690832791918007</v>
      </c>
      <c r="AO29" s="165">
        <f>'Supplemental Data'!AO28/'Supplemental Data'!AJ28-1</f>
        <v>0.36418424063926169</v>
      </c>
      <c r="AP29" s="474"/>
      <c r="AQ29" s="474"/>
      <c r="AR29" s="474"/>
      <c r="AS29" s="474"/>
      <c r="AT29" s="165"/>
      <c r="AU29" s="474"/>
      <c r="AV29" s="474"/>
      <c r="AW29" s="598"/>
      <c r="AX29" s="474"/>
      <c r="AY29" s="165"/>
      <c r="AZ29" s="474"/>
      <c r="BA29" s="474"/>
      <c r="BB29" s="474"/>
      <c r="BC29" s="474"/>
      <c r="BD29" s="165"/>
      <c r="BE29" s="165"/>
      <c r="BF29" s="165"/>
      <c r="BG29" s="165"/>
      <c r="BH29" s="648"/>
    </row>
    <row r="30" spans="1:60" customFormat="1" ht="15" x14ac:dyDescent="0.25">
      <c r="A30" s="279" t="s">
        <v>15</v>
      </c>
      <c r="B30" s="442"/>
      <c r="C30" s="864"/>
      <c r="D30" s="864"/>
      <c r="E30" s="864"/>
      <c r="F30" s="865">
        <v>1136.8720000000001</v>
      </c>
      <c r="G30" s="866">
        <v>243.29300000000001</v>
      </c>
      <c r="H30" s="866">
        <v>232.381</v>
      </c>
      <c r="I30" s="866">
        <v>221.86500000000001</v>
      </c>
      <c r="J30" s="866">
        <f>K30-I30-H30-G30</f>
        <v>213.25800000000004</v>
      </c>
      <c r="K30" s="865">
        <v>910.79700000000003</v>
      </c>
      <c r="L30" s="866">
        <v>204.35400000000001</v>
      </c>
      <c r="M30" s="866">
        <v>194.721</v>
      </c>
      <c r="N30" s="866">
        <v>186.59700000000001</v>
      </c>
      <c r="O30" s="866">
        <f>P30-N30-M30-L30</f>
        <v>179.48899999999995</v>
      </c>
      <c r="P30" s="865">
        <v>765.16099999999994</v>
      </c>
      <c r="Q30" s="866">
        <v>173.2</v>
      </c>
      <c r="R30" s="866">
        <v>164.018</v>
      </c>
      <c r="S30" s="866">
        <v>157.524</v>
      </c>
      <c r="T30" s="866">
        <f>U30-Q30-R30-S30</f>
        <v>150.995</v>
      </c>
      <c r="U30" s="865">
        <v>645.73699999999997</v>
      </c>
      <c r="V30" s="866">
        <v>144.74700000000001</v>
      </c>
      <c r="W30" s="866">
        <v>138.732</v>
      </c>
      <c r="X30" s="866">
        <v>132.375</v>
      </c>
      <c r="Y30" s="867">
        <f>Z30-V30-W30-X30</f>
        <v>126.41300000000001</v>
      </c>
      <c r="Z30" s="864">
        <v>542.26700000000005</v>
      </c>
      <c r="AA30" s="866">
        <v>120.39400000000001</v>
      </c>
      <c r="AB30" s="866">
        <v>114.73699999999999</v>
      </c>
      <c r="AC30" s="866">
        <v>110.214</v>
      </c>
      <c r="AD30" s="867">
        <f>AE30-AA30-AB30-AC30</f>
        <v>105.15200000000002</v>
      </c>
      <c r="AE30" s="864">
        <v>450.49700000000001</v>
      </c>
      <c r="AF30" s="866">
        <v>98.751000000000005</v>
      </c>
      <c r="AG30" s="866">
        <v>92.903999999999996</v>
      </c>
      <c r="AH30" s="866">
        <v>88.777000000000001</v>
      </c>
      <c r="AI30" s="867">
        <f>AJ30-AF30-AG30-AH30</f>
        <v>85.156999999999968</v>
      </c>
      <c r="AJ30" s="864">
        <v>365.589</v>
      </c>
      <c r="AK30" s="866">
        <v>80.688000000000002</v>
      </c>
      <c r="AL30" s="866">
        <v>76.2</v>
      </c>
      <c r="AM30" s="866">
        <v>71.876999999999995</v>
      </c>
      <c r="AN30" s="867">
        <f>AO30-AK30-AL30-AM30</f>
        <v>68.452000000000012</v>
      </c>
      <c r="AO30" s="864">
        <v>297.21699999999998</v>
      </c>
      <c r="AP30" s="867"/>
      <c r="AQ30" s="867"/>
      <c r="AR30" s="867"/>
      <c r="AS30" s="867"/>
      <c r="AT30" s="864"/>
      <c r="AU30" s="867"/>
      <c r="AV30" s="867"/>
      <c r="AW30" s="868"/>
      <c r="AX30" s="867"/>
      <c r="AY30" s="864"/>
      <c r="AZ30" s="867"/>
      <c r="BA30" s="867"/>
      <c r="BB30" s="867"/>
      <c r="BC30" s="867"/>
      <c r="BD30" s="864"/>
      <c r="BE30" s="864"/>
      <c r="BF30" s="864"/>
      <c r="BG30" s="864"/>
      <c r="BH30" s="821"/>
    </row>
    <row r="31" spans="1:60" s="649" customFormat="1" ht="15" x14ac:dyDescent="0.25">
      <c r="A31" s="751" t="s">
        <v>670</v>
      </c>
      <c r="B31" s="745"/>
      <c r="C31" s="746"/>
      <c r="D31" s="746"/>
      <c r="E31" s="746"/>
      <c r="F31" s="746"/>
      <c r="G31" s="747"/>
      <c r="H31" s="747"/>
      <c r="I31" s="747"/>
      <c r="J31" s="747"/>
      <c r="K31" s="748">
        <f>'Supplemental Data'!K30/'Supplemental Data'!F30-1</f>
        <v>-0.19885703931489207</v>
      </c>
      <c r="L31" s="749">
        <f>'Supplemental Data'!L30/'Supplemental Data'!G30-1</f>
        <v>-0.16004981647642957</v>
      </c>
      <c r="M31" s="749">
        <f>'Supplemental Data'!M30/'Supplemental Data'!H30-1</f>
        <v>-0.1620614422005241</v>
      </c>
      <c r="N31" s="749">
        <f>'Supplemental Data'!N30/'Supplemental Data'!I30-1</f>
        <v>-0.15896153066053675</v>
      </c>
      <c r="O31" s="749">
        <f>'Supplemental Data'!O30/'Supplemental Data'!J30-1</f>
        <v>-0.15834810417428691</v>
      </c>
      <c r="P31" s="748">
        <f>'Supplemental Data'!P30/'Supplemental Data'!K30-1</f>
        <v>-0.15989951657723955</v>
      </c>
      <c r="Q31" s="749">
        <f>'Supplemental Data'!Q30/'Supplemental Data'!L30-1</f>
        <v>-0.15245113871027738</v>
      </c>
      <c r="R31" s="749">
        <f>'Supplemental Data'!R30/'Supplemental Data'!M30-1</f>
        <v>-0.15767688128142321</v>
      </c>
      <c r="S31" s="749">
        <f>'Supplemental Data'!S30/'Supplemental Data'!N30-1</f>
        <v>-0.15580636344635768</v>
      </c>
      <c r="T31" s="749">
        <f>'Supplemental Data'!T30/'Supplemental Data'!O30-1</f>
        <v>-0.15875067552886224</v>
      </c>
      <c r="U31" s="748">
        <f>'Supplemental Data'!U30/'Supplemental Data'!P30-1</f>
        <v>-0.15607695635297669</v>
      </c>
      <c r="V31" s="749">
        <f>'Supplemental Data'!V30/'Supplemental Data'!Q30-1</f>
        <v>-0.16427829099307145</v>
      </c>
      <c r="W31" s="749">
        <f>'Supplemental Data'!W30/'Supplemental Data'!R30-1</f>
        <v>-0.15416600617005449</v>
      </c>
      <c r="X31" s="749">
        <f>'Supplemental Data'!X30/'Supplemental Data'!S30-1</f>
        <v>-0.1596518625733222</v>
      </c>
      <c r="Y31" s="747">
        <f>'Supplemental Data'!Y30/'Supplemental Data'!T30-1</f>
        <v>-0.16280009271830187</v>
      </c>
      <c r="Z31" s="746">
        <f>'Supplemental Data'!Z30/'Supplemental Data'!U30-1</f>
        <v>-0.16023551383922541</v>
      </c>
      <c r="AA31" s="749">
        <f>'Supplemental Data'!AA30/'Supplemental Data'!V30-1</f>
        <v>-0.16824528314921905</v>
      </c>
      <c r="AB31" s="749">
        <f>'Supplemental Data'!AB30/'Supplemental Data'!W30-1</f>
        <v>-0.17295937490989821</v>
      </c>
      <c r="AC31" s="749">
        <f>'Supplemental Data'!AC30/'Supplemental Data'!X30-1</f>
        <v>-0.16741076487252127</v>
      </c>
      <c r="AD31" s="747">
        <f>'Supplemental Data'!AD30/'Supplemental Data'!Y30-1</f>
        <v>-0.16818681622934351</v>
      </c>
      <c r="AE31" s="746">
        <f>'Supplemental Data'!AE30/'Supplemental Data'!Z30-1</f>
        <v>-0.16923397514508542</v>
      </c>
      <c r="AF31" s="749">
        <f>'Supplemental Data'!AF30/'Supplemental Data'!AA30-1</f>
        <v>-0.17976809475555255</v>
      </c>
      <c r="AG31" s="749">
        <f>'Supplemental Data'!AG30/'Supplemental Data'!AB30-1</f>
        <v>-0.19028735281556952</v>
      </c>
      <c r="AH31" s="749">
        <f>'Supplemental Data'!AH30/'Supplemental Data'!AC30-1</f>
        <v>-0.19450342061807024</v>
      </c>
      <c r="AI31" s="747">
        <f>'Supplemental Data'!AI30/'Supplemental Data'!AD30-1</f>
        <v>-0.19015330188679291</v>
      </c>
      <c r="AJ31" s="746">
        <f>'Supplemental Data'!AJ30/'Supplemental Data'!AE30-1</f>
        <v>-0.18847628286092921</v>
      </c>
      <c r="AK31" s="749">
        <f>'Supplemental Data'!AK30/'Supplemental Data'!AF30-1</f>
        <v>-0.18291460339642129</v>
      </c>
      <c r="AL31" s="749">
        <f>'Supplemental Data'!AL30/'Supplemental Data'!AG30-1</f>
        <v>-0.17979850167915257</v>
      </c>
      <c r="AM31" s="749">
        <f>'Supplemental Data'!AM30/'Supplemental Data'!AH30-1</f>
        <v>-0.19036462146727195</v>
      </c>
      <c r="AN31" s="747">
        <f>'Supplemental Data'!AN30/'Supplemental Data'!AI30-1</f>
        <v>-0.19616707962938995</v>
      </c>
      <c r="AO31" s="746">
        <f>'Supplemental Data'!AO30/'Supplemental Data'!AJ30-1</f>
        <v>-0.18701875603478224</v>
      </c>
      <c r="AP31" s="747"/>
      <c r="AQ31" s="747"/>
      <c r="AR31" s="747"/>
      <c r="AS31" s="747"/>
      <c r="AT31" s="746"/>
      <c r="AU31" s="747"/>
      <c r="AV31" s="747"/>
      <c r="AW31" s="750"/>
      <c r="AX31" s="747"/>
      <c r="AY31" s="746"/>
      <c r="AZ31" s="747"/>
      <c r="BA31" s="747"/>
      <c r="BB31" s="747"/>
      <c r="BC31" s="747"/>
      <c r="BD31" s="746"/>
      <c r="BE31" s="746"/>
      <c r="BF31" s="746"/>
      <c r="BG31" s="746"/>
      <c r="BH31" s="648"/>
    </row>
    <row r="32" spans="1:60" customFormat="1" ht="15" x14ac:dyDescent="0.25">
      <c r="A32" s="63" t="s">
        <v>16</v>
      </c>
      <c r="B32" s="493"/>
      <c r="C32" s="874"/>
      <c r="D32" s="874"/>
      <c r="E32" s="874"/>
      <c r="F32" s="875">
        <f>F26+F28+F30</f>
        <v>3609.2820000000002</v>
      </c>
      <c r="G32" s="876">
        <f t="shared" ref="G32:AO32" si="6">G26+G28+G30</f>
        <v>1023.961</v>
      </c>
      <c r="H32" s="876">
        <f t="shared" si="6"/>
        <v>1069.3720000000001</v>
      </c>
      <c r="I32" s="876">
        <f t="shared" si="6"/>
        <v>1105.999</v>
      </c>
      <c r="J32" s="876">
        <f t="shared" si="6"/>
        <v>1175.23</v>
      </c>
      <c r="K32" s="875">
        <f t="shared" si="6"/>
        <v>4374.5619999999999</v>
      </c>
      <c r="L32" s="876">
        <f t="shared" si="6"/>
        <v>1270.0889999999999</v>
      </c>
      <c r="M32" s="876">
        <f t="shared" si="6"/>
        <v>1340.4070000000002</v>
      </c>
      <c r="N32" s="876">
        <f t="shared" si="6"/>
        <v>1409.432</v>
      </c>
      <c r="O32" s="876">
        <f t="shared" si="6"/>
        <v>1484.7280000000003</v>
      </c>
      <c r="P32" s="875">
        <f t="shared" si="6"/>
        <v>5504.6559999999999</v>
      </c>
      <c r="Q32" s="876">
        <f t="shared" si="6"/>
        <v>1573.1290000000001</v>
      </c>
      <c r="R32" s="876">
        <f t="shared" si="6"/>
        <v>1644.694</v>
      </c>
      <c r="S32" s="876">
        <f t="shared" si="6"/>
        <v>1738.355</v>
      </c>
      <c r="T32" s="876">
        <f t="shared" si="6"/>
        <v>1823.3329999999996</v>
      </c>
      <c r="U32" s="875">
        <f t="shared" si="6"/>
        <v>6779.5109999999995</v>
      </c>
      <c r="V32" s="876">
        <f t="shared" si="6"/>
        <v>1957.7360000000001</v>
      </c>
      <c r="W32" s="876">
        <f t="shared" si="6"/>
        <v>2105.2040000000002</v>
      </c>
      <c r="X32" s="876">
        <f t="shared" si="6"/>
        <v>2290.1880000000001</v>
      </c>
      <c r="Y32" s="879">
        <f t="shared" si="6"/>
        <v>2477.5409999999997</v>
      </c>
      <c r="Z32" s="874">
        <f t="shared" si="6"/>
        <v>8830.6689999999999</v>
      </c>
      <c r="AA32" s="876">
        <f t="shared" si="6"/>
        <v>2636.6350000000002</v>
      </c>
      <c r="AB32" s="876">
        <f t="shared" si="6"/>
        <v>2785.4639999999999</v>
      </c>
      <c r="AC32" s="876">
        <f t="shared" si="6"/>
        <v>2984.8589999999999</v>
      </c>
      <c r="AD32" s="879">
        <f t="shared" si="6"/>
        <v>3285.7550000000001</v>
      </c>
      <c r="AE32" s="874">
        <f t="shared" si="6"/>
        <v>11692.713</v>
      </c>
      <c r="AF32" s="876">
        <f t="shared" si="6"/>
        <v>3700.8560000000002</v>
      </c>
      <c r="AG32" s="876">
        <f t="shared" si="6"/>
        <v>3907.27</v>
      </c>
      <c r="AH32" s="876">
        <f t="shared" si="6"/>
        <v>3999.3739999999998</v>
      </c>
      <c r="AI32" s="879">
        <f t="shared" si="6"/>
        <v>4186.8409999999994</v>
      </c>
      <c r="AJ32" s="874">
        <f t="shared" si="6"/>
        <v>15794.341</v>
      </c>
      <c r="AK32" s="876">
        <f t="shared" si="6"/>
        <v>4520.9920000000002</v>
      </c>
      <c r="AL32" s="876">
        <f t="shared" si="6"/>
        <v>4923.1159999999991</v>
      </c>
      <c r="AM32" s="876">
        <f t="shared" si="6"/>
        <v>5244.9050000000007</v>
      </c>
      <c r="AN32" s="879">
        <f t="shared" si="6"/>
        <v>5467.4340000000002</v>
      </c>
      <c r="AO32" s="874">
        <f t="shared" si="6"/>
        <v>20156.447</v>
      </c>
      <c r="AP32" s="879"/>
      <c r="AQ32" s="879"/>
      <c r="AR32" s="879"/>
      <c r="AS32" s="879"/>
      <c r="AT32" s="874"/>
      <c r="AU32" s="879"/>
      <c r="AV32" s="879"/>
      <c r="AW32" s="880"/>
      <c r="AX32" s="879"/>
      <c r="AY32" s="874"/>
      <c r="AZ32" s="879"/>
      <c r="BA32" s="879"/>
      <c r="BB32" s="879"/>
      <c r="BC32" s="879"/>
      <c r="BD32" s="874"/>
      <c r="BE32" s="874"/>
      <c r="BF32" s="874"/>
      <c r="BG32" s="874"/>
      <c r="BH32" s="824"/>
    </row>
    <row r="33" spans="1:60" s="710" customFormat="1" ht="15" x14ac:dyDescent="0.25">
      <c r="A33" s="718"/>
      <c r="B33" s="719"/>
      <c r="C33" s="729"/>
      <c r="D33" s="729"/>
      <c r="E33" s="729"/>
      <c r="F33" s="729"/>
      <c r="G33" s="391"/>
      <c r="H33" s="391"/>
      <c r="I33" s="391"/>
      <c r="J33" s="391"/>
      <c r="K33" s="729"/>
      <c r="L33" s="391"/>
      <c r="M33" s="391"/>
      <c r="N33" s="391"/>
      <c r="O33" s="391"/>
      <c r="P33" s="729"/>
      <c r="Q33" s="391"/>
      <c r="R33" s="391"/>
      <c r="S33" s="391"/>
      <c r="T33" s="391"/>
      <c r="U33" s="729"/>
      <c r="V33" s="391"/>
      <c r="W33" s="391"/>
      <c r="X33" s="391"/>
      <c r="Y33" s="391"/>
      <c r="Z33" s="729"/>
      <c r="AA33" s="391"/>
      <c r="AB33" s="391"/>
      <c r="AC33" s="391"/>
      <c r="AD33" s="391"/>
      <c r="AE33" s="729"/>
      <c r="AF33" s="391"/>
      <c r="AG33" s="391"/>
      <c r="AH33" s="391"/>
      <c r="AI33" s="391"/>
      <c r="AJ33" s="729"/>
      <c r="AK33" s="391"/>
      <c r="AL33" s="391"/>
      <c r="AM33" s="391"/>
      <c r="AN33" s="391"/>
      <c r="AO33" s="729"/>
      <c r="AP33" s="391"/>
      <c r="AQ33" s="391"/>
      <c r="AR33" s="391"/>
      <c r="AS33" s="391"/>
      <c r="AT33" s="729"/>
      <c r="AU33" s="391"/>
      <c r="AV33" s="391"/>
      <c r="AW33" s="734"/>
      <c r="AX33" s="720"/>
      <c r="AY33" s="721"/>
      <c r="AZ33" s="720"/>
      <c r="BA33" s="720"/>
      <c r="BB33" s="720"/>
      <c r="BC33" s="720"/>
      <c r="BD33" s="721"/>
      <c r="BE33" s="721"/>
      <c r="BF33" s="721"/>
      <c r="BG33" s="721"/>
      <c r="BH33" s="715"/>
    </row>
    <row r="34" spans="1:60" customFormat="1" ht="15" x14ac:dyDescent="0.25">
      <c r="A34" s="819" t="s">
        <v>516</v>
      </c>
      <c r="B34" s="819"/>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565"/>
      <c r="AX34" s="88"/>
      <c r="AY34" s="88"/>
      <c r="AZ34" s="88"/>
      <c r="BA34" s="88"/>
      <c r="BB34" s="88"/>
      <c r="BC34" s="88"/>
      <c r="BD34" s="88"/>
      <c r="BE34" s="88"/>
      <c r="BF34" s="88"/>
      <c r="BG34" s="88"/>
      <c r="BH34" s="824"/>
    </row>
    <row r="35" spans="1:60" customFormat="1" ht="15" x14ac:dyDescent="0.25">
      <c r="A35" s="367" t="s">
        <v>18</v>
      </c>
      <c r="B35" s="442"/>
      <c r="C35" s="864"/>
      <c r="D35" s="864"/>
      <c r="E35" s="864"/>
      <c r="F35" s="865">
        <v>1570.6</v>
      </c>
      <c r="G35" s="866">
        <v>440.334</v>
      </c>
      <c r="H35" s="866">
        <v>452.59800000000001</v>
      </c>
      <c r="I35" s="866">
        <v>473.96499999999997</v>
      </c>
      <c r="J35" s="866">
        <f>K35-I35-H35-G35</f>
        <v>496.4790000000001</v>
      </c>
      <c r="K35" s="865">
        <v>1863.376</v>
      </c>
      <c r="L35" s="866">
        <v>517.09400000000005</v>
      </c>
      <c r="M35" s="866">
        <v>546.22299999999996</v>
      </c>
      <c r="N35" s="866">
        <v>565.25099999999998</v>
      </c>
      <c r="O35" s="866">
        <f>P35-N35-M35-L35</f>
        <v>573.19299999999998</v>
      </c>
      <c r="P35" s="865">
        <v>2201.761</v>
      </c>
      <c r="Q35" s="866">
        <v>582.529</v>
      </c>
      <c r="R35" s="866">
        <v>612.69100000000003</v>
      </c>
      <c r="S35" s="866">
        <v>644.91399999999999</v>
      </c>
      <c r="T35" s="866">
        <f>U35-Q35-R35-S35</f>
        <v>647.0590000000002</v>
      </c>
      <c r="U35" s="865">
        <v>2487.1930000000002</v>
      </c>
      <c r="V35" s="866">
        <v>687.75599999999997</v>
      </c>
      <c r="W35" s="866">
        <v>729.399</v>
      </c>
      <c r="X35" s="866">
        <v>746.22</v>
      </c>
      <c r="Y35" s="867">
        <v>788.59799999999996</v>
      </c>
      <c r="Z35" s="864">
        <v>2951.973</v>
      </c>
      <c r="AA35" s="866">
        <v>783.95399999999995</v>
      </c>
      <c r="AB35" s="866">
        <v>868.53</v>
      </c>
      <c r="AC35" s="866">
        <v>902.27499999999998</v>
      </c>
      <c r="AD35" s="867">
        <v>916.1</v>
      </c>
      <c r="AE35" s="864">
        <v>3470.8589999999999</v>
      </c>
      <c r="AF35" s="866">
        <v>936.48</v>
      </c>
      <c r="AG35" s="866">
        <v>969.995</v>
      </c>
      <c r="AH35" s="866">
        <v>1038.473</v>
      </c>
      <c r="AI35" s="867">
        <v>1093.4459999999999</v>
      </c>
      <c r="AJ35" s="864">
        <f>SUM(AF35,AG35,AH35,AI35)</f>
        <v>4038.3939999999998</v>
      </c>
      <c r="AK35" s="866">
        <v>1139.5350000000001</v>
      </c>
      <c r="AL35" s="866">
        <v>1196.42</v>
      </c>
      <c r="AM35" s="866">
        <v>1210.105</v>
      </c>
      <c r="AN35" s="867">
        <v>1321.2829999999999</v>
      </c>
      <c r="AO35" s="864">
        <f>SUM(AK35,AL35,AM35,AN35)</f>
        <v>4867.3429999999998</v>
      </c>
      <c r="AP35" s="867"/>
      <c r="AQ35" s="867"/>
      <c r="AR35" s="867"/>
      <c r="AS35" s="867"/>
      <c r="AT35" s="864"/>
      <c r="AU35" s="867"/>
      <c r="AV35" s="867"/>
      <c r="AW35" s="868"/>
      <c r="AX35" s="867"/>
      <c r="AY35" s="864"/>
      <c r="AZ35" s="867"/>
      <c r="BA35" s="867"/>
      <c r="BB35" s="867"/>
      <c r="BC35" s="867"/>
      <c r="BD35" s="864"/>
      <c r="BE35" s="864"/>
      <c r="BF35" s="864"/>
      <c r="BG35" s="864"/>
      <c r="BH35" s="821"/>
    </row>
    <row r="36" spans="1:60" customFormat="1" ht="15" x14ac:dyDescent="0.25">
      <c r="A36" s="367" t="s">
        <v>19</v>
      </c>
      <c r="B36" s="442"/>
      <c r="C36" s="864"/>
      <c r="D36" s="864"/>
      <c r="E36" s="864"/>
      <c r="F36" s="865">
        <v>483.29500000000002</v>
      </c>
      <c r="G36" s="866">
        <v>166.892</v>
      </c>
      <c r="H36" s="866">
        <v>184.4</v>
      </c>
      <c r="I36" s="866">
        <v>209.81100000000001</v>
      </c>
      <c r="J36" s="866">
        <f>K36-I36-H36-G36</f>
        <v>221.20099999999996</v>
      </c>
      <c r="K36" s="865">
        <v>782.30399999999997</v>
      </c>
      <c r="L36" s="866">
        <v>245.267</v>
      </c>
      <c r="M36" s="866">
        <v>266.697</v>
      </c>
      <c r="N36" s="866">
        <v>291.94200000000001</v>
      </c>
      <c r="O36" s="866">
        <f>P36-N36-M36-L36</f>
        <v>350.21099999999996</v>
      </c>
      <c r="P36" s="865">
        <v>1154.117</v>
      </c>
      <c r="Q36" s="866">
        <v>375.27800000000002</v>
      </c>
      <c r="R36" s="866">
        <v>422.96600000000001</v>
      </c>
      <c r="S36" s="866">
        <v>451.25099999999998</v>
      </c>
      <c r="T36" s="866">
        <f>U36-Q36-R36-S36</f>
        <v>530.88</v>
      </c>
      <c r="U36" s="865">
        <v>1780.375</v>
      </c>
      <c r="V36" s="866">
        <v>657.73</v>
      </c>
      <c r="W36" s="866">
        <v>728.16800000000001</v>
      </c>
      <c r="X36" s="866">
        <v>783.87699999999995</v>
      </c>
      <c r="Y36" s="867">
        <v>872.97199999999998</v>
      </c>
      <c r="Z36" s="864">
        <v>3042.7469999999998</v>
      </c>
      <c r="AA36" s="866">
        <v>896.55799999999999</v>
      </c>
      <c r="AB36" s="866">
        <v>1070.432</v>
      </c>
      <c r="AC36" s="866">
        <v>1136.877</v>
      </c>
      <c r="AD36" s="867">
        <v>1255.749</v>
      </c>
      <c r="AE36" s="864">
        <v>4359.616</v>
      </c>
      <c r="AF36" s="866">
        <v>1321.7059999999999</v>
      </c>
      <c r="AG36" s="866">
        <v>1392.5119999999999</v>
      </c>
      <c r="AH36" s="866">
        <v>1455.5540000000001</v>
      </c>
      <c r="AI36" s="867">
        <v>1606.2750000000001</v>
      </c>
      <c r="AJ36" s="864">
        <f>SUM(AF36,AG36,AH36,AI36)</f>
        <v>5776.0470000000005</v>
      </c>
      <c r="AK36" s="866">
        <v>1697.1210000000001</v>
      </c>
      <c r="AL36" s="866">
        <v>1778.89</v>
      </c>
      <c r="AM36" s="866">
        <v>1860.021</v>
      </c>
      <c r="AN36" s="867">
        <v>2113.6309999999999</v>
      </c>
      <c r="AO36" s="864">
        <f>SUM(AK36,AL36,AM36,AN36)</f>
        <v>7449.6630000000005</v>
      </c>
      <c r="AP36" s="867"/>
      <c r="AQ36" s="867"/>
      <c r="AR36" s="867"/>
      <c r="AS36" s="867"/>
      <c r="AT36" s="864"/>
      <c r="AU36" s="867"/>
      <c r="AV36" s="867"/>
      <c r="AW36" s="868"/>
      <c r="AX36" s="867"/>
      <c r="AY36" s="864"/>
      <c r="AZ36" s="867"/>
      <c r="BA36" s="867"/>
      <c r="BB36" s="867"/>
      <c r="BC36" s="867"/>
      <c r="BD36" s="864"/>
      <c r="BE36" s="864"/>
      <c r="BF36" s="864"/>
      <c r="BG36" s="864"/>
      <c r="BH36" s="821"/>
    </row>
    <row r="37" spans="1:60" customFormat="1" ht="15" x14ac:dyDescent="0.25">
      <c r="A37" s="113" t="s">
        <v>20</v>
      </c>
      <c r="B37" s="335"/>
      <c r="C37" s="881"/>
      <c r="D37" s="881"/>
      <c r="E37" s="881"/>
      <c r="F37" s="886">
        <v>598.16300000000001</v>
      </c>
      <c r="G37" s="885">
        <v>129.726</v>
      </c>
      <c r="H37" s="885">
        <v>123.676</v>
      </c>
      <c r="I37" s="885">
        <v>115.124</v>
      </c>
      <c r="J37" s="885">
        <f>K37-I37-H37-G37</f>
        <v>102.99700000000001</v>
      </c>
      <c r="K37" s="886">
        <v>471.52300000000002</v>
      </c>
      <c r="L37" s="885">
        <v>106.825</v>
      </c>
      <c r="M37" s="885">
        <v>101.928</v>
      </c>
      <c r="N37" s="885">
        <v>97.200999999999993</v>
      </c>
      <c r="O37" s="885">
        <f>P37-N37-M37-L37</f>
        <v>90.92800000000004</v>
      </c>
      <c r="P37" s="886">
        <v>396.88200000000001</v>
      </c>
      <c r="Q37" s="885">
        <v>88.593999999999994</v>
      </c>
      <c r="R37" s="885">
        <v>86.094999999999999</v>
      </c>
      <c r="S37" s="885">
        <v>77.793000000000006</v>
      </c>
      <c r="T37" s="885">
        <f>U37-Q37-R37-S37</f>
        <v>71.426000000000016</v>
      </c>
      <c r="U37" s="886">
        <v>323.90800000000002</v>
      </c>
      <c r="V37" s="885">
        <v>73.094999999999999</v>
      </c>
      <c r="W37" s="885">
        <v>67.83</v>
      </c>
      <c r="X37" s="885">
        <v>63.670999999999999</v>
      </c>
      <c r="Y37" s="882">
        <f>Z37-V37-W37-X37</f>
        <v>58.146000000000022</v>
      </c>
      <c r="Z37" s="881">
        <v>262.74200000000002</v>
      </c>
      <c r="AA37" s="885">
        <v>60.219000000000001</v>
      </c>
      <c r="AB37" s="885">
        <v>52.734000000000002</v>
      </c>
      <c r="AC37" s="885">
        <v>47.087000000000003</v>
      </c>
      <c r="AD37" s="882">
        <f>AE37-AA37-AB37-AC37</f>
        <v>42.484999999999999</v>
      </c>
      <c r="AE37" s="881">
        <v>202.52500000000001</v>
      </c>
      <c r="AF37" s="885">
        <v>42.393000000000001</v>
      </c>
      <c r="AG37" s="885">
        <v>39.923999999999999</v>
      </c>
      <c r="AH37" s="885">
        <v>37.100999999999999</v>
      </c>
      <c r="AI37" s="882">
        <v>33.679000000000002</v>
      </c>
      <c r="AJ37" s="881">
        <v>153.09700000000001</v>
      </c>
      <c r="AK37" s="885">
        <v>33.957999999999998</v>
      </c>
      <c r="AL37" s="885">
        <v>30.347000000000001</v>
      </c>
      <c r="AM37" s="885">
        <v>27.792999999999999</v>
      </c>
      <c r="AN37" s="882">
        <v>31.109000000000002</v>
      </c>
      <c r="AO37" s="881">
        <f>SUM(AK37,AL37,AM37,AN37)</f>
        <v>123.20700000000002</v>
      </c>
      <c r="AP37" s="882"/>
      <c r="AQ37" s="882"/>
      <c r="AR37" s="882"/>
      <c r="AS37" s="882"/>
      <c r="AT37" s="881"/>
      <c r="AU37" s="882"/>
      <c r="AV37" s="882"/>
      <c r="AW37" s="883"/>
      <c r="AX37" s="882"/>
      <c r="AY37" s="881"/>
      <c r="AZ37" s="882"/>
      <c r="BA37" s="882"/>
      <c r="BB37" s="882"/>
      <c r="BC37" s="882"/>
      <c r="BD37" s="881"/>
      <c r="BE37" s="881"/>
      <c r="BF37" s="881"/>
      <c r="BG37" s="881"/>
      <c r="BH37" s="821"/>
    </row>
    <row r="38" spans="1:60" customFormat="1" ht="15" x14ac:dyDescent="0.25">
      <c r="A38" s="61" t="s">
        <v>21</v>
      </c>
      <c r="B38" s="492"/>
      <c r="C38" s="869"/>
      <c r="D38" s="869"/>
      <c r="E38" s="869"/>
      <c r="F38" s="872">
        <f t="shared" ref="F38:AO38" si="7">SUM(F35:F37)</f>
        <v>2652.058</v>
      </c>
      <c r="G38" s="871">
        <f t="shared" si="7"/>
        <v>736.952</v>
      </c>
      <c r="H38" s="871">
        <f t="shared" si="7"/>
        <v>760.67400000000009</v>
      </c>
      <c r="I38" s="871">
        <f t="shared" si="7"/>
        <v>798.9</v>
      </c>
      <c r="J38" s="871">
        <f t="shared" si="7"/>
        <v>820.67700000000013</v>
      </c>
      <c r="K38" s="872">
        <f t="shared" si="7"/>
        <v>3117.203</v>
      </c>
      <c r="L38" s="871">
        <f t="shared" si="7"/>
        <v>869.18600000000015</v>
      </c>
      <c r="M38" s="871">
        <f t="shared" si="7"/>
        <v>914.84799999999996</v>
      </c>
      <c r="N38" s="871">
        <f t="shared" si="7"/>
        <v>954.39400000000001</v>
      </c>
      <c r="O38" s="871">
        <f t="shared" si="7"/>
        <v>1014.332</v>
      </c>
      <c r="P38" s="872">
        <f t="shared" si="7"/>
        <v>3752.7599999999998</v>
      </c>
      <c r="Q38" s="871">
        <f t="shared" si="7"/>
        <v>1046.4010000000001</v>
      </c>
      <c r="R38" s="871">
        <f t="shared" si="7"/>
        <v>1121.7520000000002</v>
      </c>
      <c r="S38" s="871">
        <f t="shared" si="7"/>
        <v>1173.9580000000001</v>
      </c>
      <c r="T38" s="871">
        <f t="shared" si="7"/>
        <v>1249.3650000000002</v>
      </c>
      <c r="U38" s="872">
        <f t="shared" si="7"/>
        <v>4591.4760000000006</v>
      </c>
      <c r="V38" s="871">
        <f t="shared" si="7"/>
        <v>1418.5809999999999</v>
      </c>
      <c r="W38" s="871">
        <f t="shared" si="7"/>
        <v>1525.3969999999999</v>
      </c>
      <c r="X38" s="871">
        <f t="shared" si="7"/>
        <v>1593.768</v>
      </c>
      <c r="Y38" s="870">
        <f t="shared" si="7"/>
        <v>1719.7159999999999</v>
      </c>
      <c r="Z38" s="869">
        <f t="shared" si="7"/>
        <v>6257.4619999999995</v>
      </c>
      <c r="AA38" s="871">
        <f t="shared" si="7"/>
        <v>1740.731</v>
      </c>
      <c r="AB38" s="871">
        <f t="shared" si="7"/>
        <v>1991.6959999999999</v>
      </c>
      <c r="AC38" s="871">
        <f t="shared" si="7"/>
        <v>2086.239</v>
      </c>
      <c r="AD38" s="870">
        <f t="shared" si="7"/>
        <v>2214.3340000000003</v>
      </c>
      <c r="AE38" s="869">
        <f t="shared" si="7"/>
        <v>8033</v>
      </c>
      <c r="AF38" s="871">
        <f t="shared" si="7"/>
        <v>2300.5789999999997</v>
      </c>
      <c r="AG38" s="871">
        <f t="shared" si="7"/>
        <v>2402.431</v>
      </c>
      <c r="AH38" s="871">
        <f t="shared" si="7"/>
        <v>2531.1280000000002</v>
      </c>
      <c r="AI38" s="870">
        <f t="shared" si="7"/>
        <v>2733.4</v>
      </c>
      <c r="AJ38" s="869">
        <f t="shared" si="7"/>
        <v>9967.5380000000005</v>
      </c>
      <c r="AK38" s="871">
        <f t="shared" si="7"/>
        <v>2870.614</v>
      </c>
      <c r="AL38" s="871">
        <f t="shared" si="7"/>
        <v>3005.6570000000006</v>
      </c>
      <c r="AM38" s="871">
        <f t="shared" si="7"/>
        <v>3097.9190000000003</v>
      </c>
      <c r="AN38" s="870">
        <f t="shared" si="7"/>
        <v>3466.0229999999997</v>
      </c>
      <c r="AO38" s="869">
        <f t="shared" si="7"/>
        <v>12440.213000000002</v>
      </c>
      <c r="AP38" s="870"/>
      <c r="AQ38" s="870"/>
      <c r="AR38" s="870"/>
      <c r="AS38" s="870"/>
      <c r="AT38" s="869"/>
      <c r="AU38" s="870"/>
      <c r="AV38" s="870"/>
      <c r="AW38" s="887"/>
      <c r="AX38" s="870"/>
      <c r="AY38" s="869"/>
      <c r="AZ38" s="870"/>
      <c r="BA38" s="870"/>
      <c r="BB38" s="870"/>
      <c r="BC38" s="870"/>
      <c r="BD38" s="869"/>
      <c r="BE38" s="869"/>
      <c r="BF38" s="869"/>
      <c r="BG38" s="869"/>
      <c r="BH38" s="824"/>
    </row>
    <row r="39" spans="1:60" customFormat="1" ht="15" x14ac:dyDescent="0.25">
      <c r="A39" s="178"/>
      <c r="B39" s="442"/>
      <c r="C39" s="864"/>
      <c r="D39" s="864"/>
      <c r="E39" s="864"/>
      <c r="F39" s="864"/>
      <c r="G39" s="867"/>
      <c r="H39" s="867"/>
      <c r="I39" s="867"/>
      <c r="J39" s="867"/>
      <c r="K39" s="864"/>
      <c r="L39" s="867"/>
      <c r="M39" s="867"/>
      <c r="N39" s="867"/>
      <c r="O39" s="867"/>
      <c r="P39" s="864"/>
      <c r="Q39" s="867"/>
      <c r="R39" s="867"/>
      <c r="S39" s="867"/>
      <c r="T39" s="867"/>
      <c r="U39" s="864"/>
      <c r="V39" s="867"/>
      <c r="W39" s="867"/>
      <c r="X39" s="867"/>
      <c r="Y39" s="867"/>
      <c r="Z39" s="864"/>
      <c r="AA39" s="867"/>
      <c r="AB39" s="867"/>
      <c r="AC39" s="867"/>
      <c r="AD39" s="867"/>
      <c r="AE39" s="864"/>
      <c r="AF39" s="867"/>
      <c r="AG39" s="867"/>
      <c r="AH39" s="867"/>
      <c r="AI39" s="867"/>
      <c r="AJ39" s="864"/>
      <c r="AK39" s="867"/>
      <c r="AL39" s="867"/>
      <c r="AM39" s="867"/>
      <c r="AN39" s="867"/>
      <c r="AO39" s="864"/>
      <c r="AP39" s="867"/>
      <c r="AQ39" s="867"/>
      <c r="AR39" s="867"/>
      <c r="AS39" s="867"/>
      <c r="AT39" s="864"/>
      <c r="AU39" s="867"/>
      <c r="AV39" s="867"/>
      <c r="AW39" s="868"/>
      <c r="AX39" s="867"/>
      <c r="AY39" s="864"/>
      <c r="AZ39" s="867"/>
      <c r="BA39" s="867"/>
      <c r="BB39" s="867"/>
      <c r="BC39" s="867"/>
      <c r="BD39" s="864"/>
      <c r="BE39" s="864"/>
      <c r="BF39" s="864"/>
      <c r="BG39" s="864"/>
      <c r="BH39" s="821"/>
    </row>
    <row r="40" spans="1:60" customFormat="1" ht="15" x14ac:dyDescent="0.25">
      <c r="A40" s="367" t="s">
        <v>22</v>
      </c>
      <c r="B40" s="442"/>
      <c r="C40" s="864"/>
      <c r="D40" s="864"/>
      <c r="E40" s="864"/>
      <c r="F40" s="865">
        <v>245.25899999999999</v>
      </c>
      <c r="G40" s="866">
        <v>66.965000000000003</v>
      </c>
      <c r="H40" s="866">
        <v>67.177000000000007</v>
      </c>
      <c r="I40" s="866">
        <v>60.637</v>
      </c>
      <c r="J40" s="866">
        <f>K40-I40-H40-G40</f>
        <v>70.453000000000003</v>
      </c>
      <c r="K40" s="865">
        <v>265.23200000000003</v>
      </c>
      <c r="L40" s="866">
        <v>80.257999999999996</v>
      </c>
      <c r="M40" s="866">
        <v>64.727000000000004</v>
      </c>
      <c r="N40" s="866">
        <v>61.045000000000002</v>
      </c>
      <c r="O40" s="866">
        <f>P40-N40-M40-L40</f>
        <v>87.422999999999959</v>
      </c>
      <c r="P40" s="865">
        <v>293.45299999999997</v>
      </c>
      <c r="Q40" s="866">
        <v>89.551000000000002</v>
      </c>
      <c r="R40" s="866">
        <v>73.427000000000007</v>
      </c>
      <c r="S40" s="866">
        <v>74.834999999999994</v>
      </c>
      <c r="T40" s="866">
        <f>U40-Q40-R40-S40</f>
        <v>79.833000000000013</v>
      </c>
      <c r="U40" s="865">
        <v>317.64600000000002</v>
      </c>
      <c r="V40" s="866">
        <v>88.573999999999998</v>
      </c>
      <c r="W40" s="866">
        <v>93.751000000000005</v>
      </c>
      <c r="X40" s="866">
        <v>116.687</v>
      </c>
      <c r="Y40" s="867">
        <v>113.916</v>
      </c>
      <c r="Z40" s="864">
        <v>412.928</v>
      </c>
      <c r="AA40" s="866">
        <v>126.253</v>
      </c>
      <c r="AB40" s="866">
        <v>124.90300000000001</v>
      </c>
      <c r="AC40" s="866">
        <v>141.53299999999999</v>
      </c>
      <c r="AD40" s="867">
        <v>211.05699999999999</v>
      </c>
      <c r="AE40" s="864">
        <v>603.74599999999998</v>
      </c>
      <c r="AF40" s="866">
        <v>250.71899999999999</v>
      </c>
      <c r="AG40" s="866">
        <v>251.298</v>
      </c>
      <c r="AH40" s="866">
        <v>210.595</v>
      </c>
      <c r="AI40" s="867">
        <v>312.73899999999998</v>
      </c>
      <c r="AJ40" s="864">
        <v>1025.3510000000001</v>
      </c>
      <c r="AK40" s="866">
        <v>221.04599999999999</v>
      </c>
      <c r="AL40" s="866">
        <v>250.60599999999999</v>
      </c>
      <c r="AM40" s="866">
        <v>211.79300000000001</v>
      </c>
      <c r="AN40" s="867">
        <v>379.59699999999998</v>
      </c>
      <c r="AO40" s="864">
        <f>SUM(AK40,AL40,AM40,AN40)</f>
        <v>1063.0419999999999</v>
      </c>
      <c r="AP40" s="867"/>
      <c r="AQ40" s="867"/>
      <c r="AR40" s="867"/>
      <c r="AS40" s="867"/>
      <c r="AT40" s="864"/>
      <c r="AU40" s="867"/>
      <c r="AV40" s="867"/>
      <c r="AW40" s="868"/>
      <c r="AX40" s="867"/>
      <c r="AY40" s="864"/>
      <c r="AZ40" s="867"/>
      <c r="BA40" s="867"/>
      <c r="BB40" s="867"/>
      <c r="BC40" s="867"/>
      <c r="BD40" s="864"/>
      <c r="BE40" s="864"/>
      <c r="BF40" s="864"/>
      <c r="BG40" s="864"/>
      <c r="BH40" s="821"/>
    </row>
    <row r="41" spans="1:60" customFormat="1" ht="15" x14ac:dyDescent="0.25">
      <c r="A41" s="367" t="s">
        <v>23</v>
      </c>
      <c r="B41" s="442"/>
      <c r="C41" s="864"/>
      <c r="D41" s="864"/>
      <c r="E41" s="864"/>
      <c r="F41" s="865">
        <v>193.39</v>
      </c>
      <c r="G41" s="866">
        <v>52.046999999999997</v>
      </c>
      <c r="H41" s="866">
        <v>47.335000000000001</v>
      </c>
      <c r="I41" s="866">
        <v>47.536999999999999</v>
      </c>
      <c r="J41" s="866">
        <f>K41-I41-H41-G41</f>
        <v>57.498999999999995</v>
      </c>
      <c r="K41" s="865">
        <v>204.41800000000001</v>
      </c>
      <c r="L41" s="866">
        <v>56.84</v>
      </c>
      <c r="M41" s="866">
        <v>56.036000000000001</v>
      </c>
      <c r="N41" s="866">
        <v>84.608999999999995</v>
      </c>
      <c r="O41" s="866">
        <f>P41-N41-M41-L41</f>
        <v>116.24800000000002</v>
      </c>
      <c r="P41" s="865">
        <v>313.733</v>
      </c>
      <c r="Q41" s="866">
        <v>105.126</v>
      </c>
      <c r="R41" s="866">
        <v>123.71299999999999</v>
      </c>
      <c r="S41" s="866">
        <v>133.267</v>
      </c>
      <c r="T41" s="866">
        <f>U41-Q41-R41-S41</f>
        <v>144.34000000000009</v>
      </c>
      <c r="U41" s="865">
        <v>506.44600000000003</v>
      </c>
      <c r="V41" s="866">
        <v>142.89099999999999</v>
      </c>
      <c r="W41" s="866">
        <v>146.839</v>
      </c>
      <c r="X41" s="866">
        <v>194.33</v>
      </c>
      <c r="Y41" s="867">
        <v>200.53100000000001</v>
      </c>
      <c r="Z41" s="864">
        <v>684.59100000000001</v>
      </c>
      <c r="AA41" s="866">
        <v>179.89500000000001</v>
      </c>
      <c r="AB41" s="866">
        <v>186.25700000000001</v>
      </c>
      <c r="AC41" s="866">
        <v>210.91300000000001</v>
      </c>
      <c r="AD41" s="867">
        <v>255.47</v>
      </c>
      <c r="AE41" s="864">
        <v>832.53499999999997</v>
      </c>
      <c r="AF41" s="866">
        <v>286.05799999999999</v>
      </c>
      <c r="AG41" s="866">
        <v>340.709</v>
      </c>
      <c r="AH41" s="866">
        <v>299.73500000000001</v>
      </c>
      <c r="AI41" s="867">
        <v>417.61599999999999</v>
      </c>
      <c r="AJ41" s="864">
        <v>1344.1179999999999</v>
      </c>
      <c r="AK41" s="866">
        <v>395.53199999999998</v>
      </c>
      <c r="AL41" s="866">
        <v>352.54399999999998</v>
      </c>
      <c r="AM41" s="866">
        <v>342.00400000000002</v>
      </c>
      <c r="AN41" s="867">
        <v>499.34</v>
      </c>
      <c r="AO41" s="864">
        <f>SUM(AK41,AL41,AM41,AN41)</f>
        <v>1589.4199999999998</v>
      </c>
      <c r="AP41" s="867"/>
      <c r="AQ41" s="867"/>
      <c r="AR41" s="867"/>
      <c r="AS41" s="867"/>
      <c r="AT41" s="864"/>
      <c r="AU41" s="867"/>
      <c r="AV41" s="867"/>
      <c r="AW41" s="868"/>
      <c r="AX41" s="867"/>
      <c r="AY41" s="864"/>
      <c r="AZ41" s="867"/>
      <c r="BA41" s="867"/>
      <c r="BB41" s="867"/>
      <c r="BC41" s="867"/>
      <c r="BD41" s="864"/>
      <c r="BE41" s="864"/>
      <c r="BF41" s="864"/>
      <c r="BG41" s="864"/>
      <c r="BH41" s="821"/>
    </row>
    <row r="42" spans="1:60" customFormat="1" ht="15" x14ac:dyDescent="0.25">
      <c r="A42" s="113" t="s">
        <v>24</v>
      </c>
      <c r="B42" s="335"/>
      <c r="C42" s="881"/>
      <c r="D42" s="881"/>
      <c r="E42" s="881"/>
      <c r="F42" s="886">
        <v>0.55900000000000005</v>
      </c>
      <c r="G42" s="885">
        <v>7.3999999999999996E-2</v>
      </c>
      <c r="H42" s="885">
        <v>9.9000000000000005E-2</v>
      </c>
      <c r="I42" s="885">
        <v>5.3999999999999999E-2</v>
      </c>
      <c r="J42" s="885">
        <f>K42-I42-H42-G42</f>
        <v>6.4999999999999988E-2</v>
      </c>
      <c r="K42" s="886">
        <v>0.29199999999999998</v>
      </c>
      <c r="L42" s="885">
        <v>0</v>
      </c>
      <c r="M42" s="885">
        <v>0</v>
      </c>
      <c r="N42" s="885">
        <v>0</v>
      </c>
      <c r="O42" s="885">
        <f>P42-N42-M42-L42</f>
        <v>0</v>
      </c>
      <c r="P42" s="886">
        <v>0</v>
      </c>
      <c r="Q42" s="885">
        <v>0</v>
      </c>
      <c r="R42" s="885">
        <v>0</v>
      </c>
      <c r="S42" s="885">
        <v>0</v>
      </c>
      <c r="T42" s="885">
        <f>U42-Q42-R42-S42</f>
        <v>0</v>
      </c>
      <c r="U42" s="886">
        <v>0</v>
      </c>
      <c r="V42" s="885">
        <v>0</v>
      </c>
      <c r="W42" s="885">
        <v>0</v>
      </c>
      <c r="X42" s="885">
        <v>0</v>
      </c>
      <c r="Y42" s="882">
        <f>Z42-V42-W42-X42</f>
        <v>0</v>
      </c>
      <c r="Z42" s="881">
        <v>0</v>
      </c>
      <c r="AA42" s="885">
        <v>0</v>
      </c>
      <c r="AB42" s="885">
        <v>0</v>
      </c>
      <c r="AC42" s="885">
        <v>0</v>
      </c>
      <c r="AD42" s="882">
        <f>AE42-AA42-AB42-AC42</f>
        <v>0</v>
      </c>
      <c r="AE42" s="881">
        <v>0</v>
      </c>
      <c r="AF42" s="885">
        <v>0</v>
      </c>
      <c r="AG42" s="885">
        <v>0</v>
      </c>
      <c r="AH42" s="885">
        <v>0</v>
      </c>
      <c r="AI42" s="882">
        <v>0</v>
      </c>
      <c r="AJ42" s="881">
        <v>0</v>
      </c>
      <c r="AK42" s="885">
        <v>0</v>
      </c>
      <c r="AL42" s="885">
        <v>0</v>
      </c>
      <c r="AM42" s="885">
        <v>0</v>
      </c>
      <c r="AN42" s="882">
        <v>0</v>
      </c>
      <c r="AO42" s="881"/>
      <c r="AP42" s="882"/>
      <c r="AQ42" s="882"/>
      <c r="AR42" s="882"/>
      <c r="AS42" s="882"/>
      <c r="AT42" s="881"/>
      <c r="AU42" s="882"/>
      <c r="AV42" s="882"/>
      <c r="AW42" s="883"/>
      <c r="AX42" s="882"/>
      <c r="AY42" s="881"/>
      <c r="AZ42" s="882"/>
      <c r="BA42" s="882"/>
      <c r="BB42" s="882"/>
      <c r="BC42" s="882"/>
      <c r="BD42" s="881"/>
      <c r="BE42" s="881"/>
      <c r="BF42" s="881"/>
      <c r="BG42" s="881"/>
      <c r="BH42" s="821"/>
    </row>
    <row r="43" spans="1:60" customFormat="1" ht="15" x14ac:dyDescent="0.25">
      <c r="A43" s="61" t="s">
        <v>25</v>
      </c>
      <c r="B43" s="492"/>
      <c r="C43" s="869"/>
      <c r="D43" s="869"/>
      <c r="E43" s="869"/>
      <c r="F43" s="872">
        <f t="shared" ref="F43:AO43" si="8">SUM(F40:F42)</f>
        <v>439.20800000000003</v>
      </c>
      <c r="G43" s="871">
        <f t="shared" si="8"/>
        <v>119.086</v>
      </c>
      <c r="H43" s="871">
        <f t="shared" si="8"/>
        <v>114.611</v>
      </c>
      <c r="I43" s="871">
        <f t="shared" si="8"/>
        <v>108.22800000000001</v>
      </c>
      <c r="J43" s="871">
        <f t="shared" si="8"/>
        <v>128.017</v>
      </c>
      <c r="K43" s="872">
        <f t="shared" si="8"/>
        <v>469.94200000000001</v>
      </c>
      <c r="L43" s="871">
        <f t="shared" si="8"/>
        <v>137.09800000000001</v>
      </c>
      <c r="M43" s="871">
        <f t="shared" si="8"/>
        <v>120.76300000000001</v>
      </c>
      <c r="N43" s="871">
        <f t="shared" si="8"/>
        <v>145.654</v>
      </c>
      <c r="O43" s="871">
        <f t="shared" si="8"/>
        <v>203.67099999999999</v>
      </c>
      <c r="P43" s="872">
        <f t="shared" si="8"/>
        <v>607.18599999999992</v>
      </c>
      <c r="Q43" s="871">
        <f t="shared" si="8"/>
        <v>194.67700000000002</v>
      </c>
      <c r="R43" s="871">
        <f t="shared" si="8"/>
        <v>197.14</v>
      </c>
      <c r="S43" s="871">
        <f t="shared" si="8"/>
        <v>208.10199999999998</v>
      </c>
      <c r="T43" s="871">
        <f t="shared" si="8"/>
        <v>224.17300000000012</v>
      </c>
      <c r="U43" s="872">
        <f t="shared" si="8"/>
        <v>824.0920000000001</v>
      </c>
      <c r="V43" s="871">
        <f t="shared" si="8"/>
        <v>231.46499999999997</v>
      </c>
      <c r="W43" s="871">
        <f t="shared" si="8"/>
        <v>240.59</v>
      </c>
      <c r="X43" s="871">
        <f t="shared" si="8"/>
        <v>311.017</v>
      </c>
      <c r="Y43" s="870">
        <f t="shared" si="8"/>
        <v>314.447</v>
      </c>
      <c r="Z43" s="869">
        <f t="shared" si="8"/>
        <v>1097.519</v>
      </c>
      <c r="AA43" s="871">
        <f t="shared" si="8"/>
        <v>306.14800000000002</v>
      </c>
      <c r="AB43" s="871">
        <f t="shared" si="8"/>
        <v>311.16000000000003</v>
      </c>
      <c r="AC43" s="871">
        <f t="shared" si="8"/>
        <v>352.44600000000003</v>
      </c>
      <c r="AD43" s="870">
        <f t="shared" si="8"/>
        <v>466.52699999999999</v>
      </c>
      <c r="AE43" s="869">
        <f t="shared" si="8"/>
        <v>1436.2809999999999</v>
      </c>
      <c r="AF43" s="871">
        <f t="shared" si="8"/>
        <v>536.77700000000004</v>
      </c>
      <c r="AG43" s="871">
        <f t="shared" si="8"/>
        <v>592.00700000000006</v>
      </c>
      <c r="AH43" s="871">
        <f t="shared" si="8"/>
        <v>510.33000000000004</v>
      </c>
      <c r="AI43" s="870">
        <f t="shared" si="8"/>
        <v>730.35500000000002</v>
      </c>
      <c r="AJ43" s="869">
        <f t="shared" si="8"/>
        <v>2369.4690000000001</v>
      </c>
      <c r="AK43" s="871">
        <f t="shared" si="8"/>
        <v>616.57799999999997</v>
      </c>
      <c r="AL43" s="871">
        <f t="shared" si="8"/>
        <v>603.15</v>
      </c>
      <c r="AM43" s="871">
        <f t="shared" si="8"/>
        <v>553.79700000000003</v>
      </c>
      <c r="AN43" s="870">
        <f t="shared" si="8"/>
        <v>878.9369999999999</v>
      </c>
      <c r="AO43" s="869">
        <f t="shared" si="8"/>
        <v>2652.4619999999995</v>
      </c>
      <c r="AP43" s="870"/>
      <c r="AQ43" s="870"/>
      <c r="AR43" s="870"/>
      <c r="AS43" s="870"/>
      <c r="AT43" s="869"/>
      <c r="AU43" s="870"/>
      <c r="AV43" s="870"/>
      <c r="AW43" s="887"/>
      <c r="AX43" s="870"/>
      <c r="AY43" s="869"/>
      <c r="AZ43" s="870"/>
      <c r="BA43" s="870"/>
      <c r="BB43" s="870"/>
      <c r="BC43" s="870"/>
      <c r="BD43" s="869"/>
      <c r="BE43" s="869"/>
      <c r="BF43" s="869"/>
      <c r="BG43" s="869"/>
      <c r="BH43" s="824"/>
    </row>
    <row r="44" spans="1:60" customFormat="1" ht="15" x14ac:dyDescent="0.25">
      <c r="A44" s="178"/>
      <c r="B44" s="442"/>
      <c r="C44" s="864"/>
      <c r="D44" s="864"/>
      <c r="E44" s="864"/>
      <c r="F44" s="864"/>
      <c r="G44" s="867"/>
      <c r="H44" s="867"/>
      <c r="I44" s="867"/>
      <c r="J44" s="867"/>
      <c r="K44" s="864"/>
      <c r="L44" s="867"/>
      <c r="M44" s="867"/>
      <c r="N44" s="867"/>
      <c r="O44" s="867"/>
      <c r="P44" s="864"/>
      <c r="Q44" s="867"/>
      <c r="R44" s="867"/>
      <c r="S44" s="867"/>
      <c r="T44" s="867"/>
      <c r="U44" s="864"/>
      <c r="V44" s="867"/>
      <c r="W44" s="867"/>
      <c r="X44" s="867"/>
      <c r="Y44" s="867"/>
      <c r="Z44" s="864"/>
      <c r="AA44" s="867"/>
      <c r="AB44" s="867"/>
      <c r="AC44" s="867"/>
      <c r="AD44" s="867"/>
      <c r="AE44" s="864"/>
      <c r="AF44" s="867"/>
      <c r="AG44" s="867"/>
      <c r="AH44" s="867"/>
      <c r="AI44" s="867"/>
      <c r="AJ44" s="864"/>
      <c r="AK44" s="867"/>
      <c r="AL44" s="867"/>
      <c r="AM44" s="867"/>
      <c r="AN44" s="867"/>
      <c r="AO44" s="864"/>
      <c r="AP44" s="867"/>
      <c r="AQ44" s="867"/>
      <c r="AR44" s="867"/>
      <c r="AS44" s="867"/>
      <c r="AT44" s="864"/>
      <c r="AU44" s="867"/>
      <c r="AV44" s="867"/>
      <c r="AW44" s="868"/>
      <c r="AX44" s="867"/>
      <c r="AY44" s="864"/>
      <c r="AZ44" s="867"/>
      <c r="BA44" s="867"/>
      <c r="BB44" s="867"/>
      <c r="BC44" s="867"/>
      <c r="BD44" s="864"/>
      <c r="BE44" s="864"/>
      <c r="BF44" s="864"/>
      <c r="BG44" s="864"/>
      <c r="BH44" s="821"/>
    </row>
    <row r="45" spans="1:60" customFormat="1" ht="15" x14ac:dyDescent="0.25">
      <c r="A45" s="367" t="s">
        <v>26</v>
      </c>
      <c r="B45" s="442"/>
      <c r="C45" s="864"/>
      <c r="D45" s="864"/>
      <c r="E45" s="864"/>
      <c r="F45" s="865">
        <f>'Supplemental Data'!F26-F35-F40</f>
        <v>369.00900000000001</v>
      </c>
      <c r="G45" s="866">
        <f>'Supplemental Data'!G26-G35-G40</f>
        <v>131.35</v>
      </c>
      <c r="H45" s="866">
        <f>'Supplemental Data'!H26-H35-H40</f>
        <v>151.31400000000002</v>
      </c>
      <c r="I45" s="866">
        <f>'Supplemental Data'!I26-I35-I40</f>
        <v>166.48099999999999</v>
      </c>
      <c r="J45" s="866">
        <f>'Supplemental Data'!J26-J35-J40</f>
        <v>173.62199999999987</v>
      </c>
      <c r="K45" s="865">
        <f>'Supplemental Data'!K26-K35-K40</f>
        <v>622.76700000000005</v>
      </c>
      <c r="L45" s="866">
        <f>'Supplemental Data'!L26-L35-L40</f>
        <v>201.26499999999993</v>
      </c>
      <c r="M45" s="866">
        <f>'Supplemental Data'!M26-M35-M40</f>
        <v>227.27500000000006</v>
      </c>
      <c r="N45" s="866">
        <f>'Supplemental Data'!N26-N35-N40</f>
        <v>250.85399999999998</v>
      </c>
      <c r="O45" s="866">
        <f>'Supplemental Data'!O26-O35-O40</f>
        <v>256.82600000000031</v>
      </c>
      <c r="P45" s="865">
        <f>'Supplemental Data'!P26-P35-P40</f>
        <v>936.22000000000025</v>
      </c>
      <c r="Q45" s="866">
        <f>'Supplemental Data'!Q26-Q35-Q40</f>
        <v>312.45200000000006</v>
      </c>
      <c r="R45" s="866">
        <f>'Supplemental Data'!R26-R35-R40</f>
        <v>339.79499999999996</v>
      </c>
      <c r="S45" s="866">
        <f>'Supplemental Data'!S26-S35-S40</f>
        <v>344.21200000000005</v>
      </c>
      <c r="T45" s="866">
        <f>'Supplemental Data'!T26-T35-T40</f>
        <v>379.04099999999954</v>
      </c>
      <c r="U45" s="865">
        <f>'Supplemental Data'!U26-U35-U40</f>
        <v>1375.4999999999998</v>
      </c>
      <c r="V45" s="866">
        <f>'Supplemental Data'!V26-V35-V40</f>
        <v>384.911</v>
      </c>
      <c r="W45" s="866">
        <f>'Supplemental Data'!W26-W35-W40</f>
        <v>385.12099999999998</v>
      </c>
      <c r="X45" s="866">
        <f>'Supplemental Data'!X26-X35-X40</f>
        <v>441.42600000000004</v>
      </c>
      <c r="Y45" s="867">
        <f>'Supplemental Data'!Y26-Y35-Y40</f>
        <v>500.94800000000004</v>
      </c>
      <c r="Z45" s="864">
        <f>'Supplemental Data'!Z26-Z35-Z40</f>
        <v>1712.4059999999999</v>
      </c>
      <c r="AA45" s="866">
        <f>'Supplemental Data'!AA26-AA35-AA40</f>
        <v>559.83499999999992</v>
      </c>
      <c r="AB45" s="866">
        <f>'Supplemental Data'!AB26-AB35-AB40</f>
        <v>512.06600000000003</v>
      </c>
      <c r="AC45" s="866">
        <f>'Supplemental Data'!AC26-AC35-AC40</f>
        <v>503.40200000000004</v>
      </c>
      <c r="AD45" s="867">
        <f>'Supplemental Data'!AD26-AD35-AD40</f>
        <v>503.1170000000003</v>
      </c>
      <c r="AE45" s="864">
        <f>'Supplemental Data'!AE26-AE35-AE40</f>
        <v>2078.4199999999996</v>
      </c>
      <c r="AF45" s="866">
        <f>'Supplemental Data'!AF26-AF35-AF40</f>
        <v>632.81999999999994</v>
      </c>
      <c r="AG45" s="866">
        <f>'Supplemental Data'!AG26-AG35-AG40</f>
        <v>671.92899999999997</v>
      </c>
      <c r="AH45" s="866">
        <f>'Supplemental Data'!AH26-AH35-AH40</f>
        <v>688.24600000000009</v>
      </c>
      <c r="AI45" s="867">
        <f>'Supplemental Data'!AI26-AI35-AI40</f>
        <v>589.90699999999993</v>
      </c>
      <c r="AJ45" s="864">
        <f>'Supplemental Data'!AJ26-AJ35-AJ40</f>
        <v>2582.902</v>
      </c>
      <c r="AK45" s="866">
        <f>'Supplemental Data'!AK26-AK35-AK40</f>
        <v>712.97399999999971</v>
      </c>
      <c r="AL45" s="866">
        <f>'Supplemental Data'!AL26-AL35-AL40</f>
        <v>852.16299999999978</v>
      </c>
      <c r="AM45" s="866">
        <f>'Supplemental Data'!AM26-AM35-AM40</f>
        <v>990.69999999999993</v>
      </c>
      <c r="AN45" s="867">
        <f>'Supplemental Data'!AN26-AN35-AN40</f>
        <v>756.78299999999876</v>
      </c>
      <c r="AO45" s="864">
        <f>'Supplemental Data'!AO26-AO35-AO40</f>
        <v>3312.6199999999994</v>
      </c>
      <c r="AP45" s="867"/>
      <c r="AQ45" s="867"/>
      <c r="AR45" s="867"/>
      <c r="AS45" s="867"/>
      <c r="AT45" s="864"/>
      <c r="AU45" s="867"/>
      <c r="AV45" s="867"/>
      <c r="AW45" s="868"/>
      <c r="AX45" s="867"/>
      <c r="AY45" s="864"/>
      <c r="AZ45" s="867"/>
      <c r="BA45" s="867"/>
      <c r="BB45" s="867"/>
      <c r="BC45" s="867"/>
      <c r="BD45" s="864"/>
      <c r="BE45" s="864"/>
      <c r="BF45" s="864"/>
      <c r="BG45" s="864"/>
      <c r="BH45" s="821"/>
    </row>
    <row r="46" spans="1:60" customFormat="1" ht="15" x14ac:dyDescent="0.25">
      <c r="A46" s="367" t="s">
        <v>27</v>
      </c>
      <c r="B46" s="442"/>
      <c r="C46" s="864"/>
      <c r="D46" s="864"/>
      <c r="E46" s="864"/>
      <c r="F46" s="865">
        <f>'Supplemental Data'!F28-F36-F41</f>
        <v>-389.14300000000003</v>
      </c>
      <c r="G46" s="866">
        <f>'Supplemental Data'!G28-G36-G41</f>
        <v>-76.919999999999987</v>
      </c>
      <c r="H46" s="866">
        <f>'Supplemental Data'!H28-H36-H41</f>
        <v>-65.833000000000027</v>
      </c>
      <c r="I46" s="866">
        <f>'Supplemental Data'!I28-I36-I41</f>
        <v>-74.297000000000025</v>
      </c>
      <c r="J46" s="866">
        <f>'Supplemental Data'!J28-J36-J41</f>
        <v>-57.282000000000011</v>
      </c>
      <c r="K46" s="865">
        <f>'Supplemental Data'!K28-K36-K41</f>
        <v>-274.33199999999999</v>
      </c>
      <c r="L46" s="866">
        <f>'Supplemental Data'!L28-L36-L41</f>
        <v>-34.989000000000004</v>
      </c>
      <c r="M46" s="866">
        <f>'Supplemental Data'!M28-M36-M41</f>
        <v>-15.271999999999991</v>
      </c>
      <c r="N46" s="866">
        <f>'Supplemental Data'!N28-N36-N41</f>
        <v>-30.866</v>
      </c>
      <c r="O46" s="866">
        <f>'Supplemental Data'!O28-O36-O41</f>
        <v>-78.662000000000006</v>
      </c>
      <c r="P46" s="865">
        <f>'Supplemental Data'!P28-P36-P41</f>
        <v>-159.78900000000004</v>
      </c>
      <c r="Q46" s="866">
        <f>'Supplemental Data'!Q28-Q36-Q41</f>
        <v>-65.007000000000033</v>
      </c>
      <c r="R46" s="866">
        <f>'Supplemental Data'!R28-R36-R41</f>
        <v>-91.916000000000025</v>
      </c>
      <c r="S46" s="866">
        <f>'Supplemental Data'!S28-S36-S41</f>
        <v>-67.647999999999968</v>
      </c>
      <c r="T46" s="866">
        <f>'Supplemental Data'!T28-T36-T41</f>
        <v>-108.815</v>
      </c>
      <c r="U46" s="865">
        <f>'Supplemental Data'!U28-U36-U41</f>
        <v>-333.38600000000008</v>
      </c>
      <c r="V46" s="866">
        <f>'Supplemental Data'!V28-V36-V41</f>
        <v>-148.87299999999996</v>
      </c>
      <c r="W46" s="866">
        <f>'Supplemental Data'!W28-W36-W41</f>
        <v>-116.80599999999998</v>
      </c>
      <c r="X46" s="866">
        <f>'Supplemental Data'!X28-X36-X41</f>
        <v>-124.72699999999995</v>
      </c>
      <c r="Y46" s="867">
        <f>'Supplemental Data'!Y28-Y36-Y41</f>
        <v>-125.83700000000027</v>
      </c>
      <c r="Z46" s="864">
        <f>'Supplemental Data'!Z28-Z36-Z41</f>
        <v>-516.24300000000005</v>
      </c>
      <c r="AA46" s="866">
        <f>'Supplemental Data'!AA28-AA36-AA41</f>
        <v>-30.253999999999934</v>
      </c>
      <c r="AB46" s="866">
        <f>'Supplemental Data'!AB28-AB36-AB41</f>
        <v>-91.460999999999956</v>
      </c>
      <c r="AC46" s="866">
        <f>'Supplemental Data'!AC28-AC36-AC41</f>
        <v>-20.355000000000018</v>
      </c>
      <c r="AD46" s="867">
        <f>'Supplemental Data'!AD28-AD36-AD41</f>
        <v>39.109999999999701</v>
      </c>
      <c r="AE46" s="864">
        <f>'Supplemental Data'!AE28-AE36-AE41</f>
        <v>-102.96000000000015</v>
      </c>
      <c r="AF46" s="866">
        <f>'Supplemental Data'!AF28-AF36-AF41</f>
        <v>174.32200000000012</v>
      </c>
      <c r="AG46" s="866">
        <f>'Supplemental Data'!AG28-AG36-AG41</f>
        <v>187.92300000000006</v>
      </c>
      <c r="AH46" s="866">
        <f>'Supplemental Data'!AH28-AH36-AH41</f>
        <v>217.9939999999998</v>
      </c>
      <c r="AI46" s="867">
        <f>'Supplemental Data'!AI28-AI36-AI41</f>
        <v>81.700999999999112</v>
      </c>
      <c r="AJ46" s="864">
        <f>'Supplemental Data'!AJ28-AJ36-AJ41</f>
        <v>661.93999999999915</v>
      </c>
      <c r="AK46" s="866">
        <f>'Supplemental Data'!AK28-AK36-AK41</f>
        <v>274.09599999999972</v>
      </c>
      <c r="AL46" s="866">
        <f>'Supplemental Data'!AL28-AL36-AL41</f>
        <v>416.29299999999978</v>
      </c>
      <c r="AM46" s="866">
        <f>'Supplemental Data'!AM28-AM36-AM41</f>
        <v>558.40499999999986</v>
      </c>
      <c r="AN46" s="867">
        <f>'Supplemental Data'!AN28-AN36-AN41</f>
        <v>328.34800000000104</v>
      </c>
      <c r="AO46" s="864">
        <f>'Supplemental Data'!AO28-AO36-AO41</f>
        <v>1577.1420000000001</v>
      </c>
      <c r="AP46" s="867"/>
      <c r="AQ46" s="867"/>
      <c r="AR46" s="867"/>
      <c r="AS46" s="867"/>
      <c r="AT46" s="864"/>
      <c r="AU46" s="867"/>
      <c r="AV46" s="867"/>
      <c r="AW46" s="868"/>
      <c r="AX46" s="867"/>
      <c r="AY46" s="864"/>
      <c r="AZ46" s="867"/>
      <c r="BA46" s="867"/>
      <c r="BB46" s="867"/>
      <c r="BC46" s="867"/>
      <c r="BD46" s="864"/>
      <c r="BE46" s="864"/>
      <c r="BF46" s="864"/>
      <c r="BG46" s="864"/>
      <c r="BH46" s="821"/>
    </row>
    <row r="47" spans="1:60" customFormat="1" ht="15" x14ac:dyDescent="0.25">
      <c r="A47" s="113" t="s">
        <v>28</v>
      </c>
      <c r="B47" s="335"/>
      <c r="C47" s="881"/>
      <c r="D47" s="881"/>
      <c r="E47" s="881"/>
      <c r="F47" s="886">
        <f>'Supplemental Data'!F30-F37-F42</f>
        <v>538.15000000000009</v>
      </c>
      <c r="G47" s="885">
        <f>'Supplemental Data'!G30-G37-G42</f>
        <v>113.49300000000001</v>
      </c>
      <c r="H47" s="885">
        <f>'Supplemental Data'!H30-H37-H42</f>
        <v>108.60599999999999</v>
      </c>
      <c r="I47" s="885">
        <f>'Supplemental Data'!I30-I37-I42</f>
        <v>106.68700000000001</v>
      </c>
      <c r="J47" s="885">
        <f>'Supplemental Data'!J30-J37-J42</f>
        <v>110.19600000000003</v>
      </c>
      <c r="K47" s="886">
        <f>'Supplemental Data'!K30-K37-K42</f>
        <v>438.98200000000003</v>
      </c>
      <c r="L47" s="885">
        <f>'Supplemental Data'!L30-L37-L42</f>
        <v>97.529000000000011</v>
      </c>
      <c r="M47" s="885">
        <f>'Supplemental Data'!M30-M37-M42</f>
        <v>92.793000000000006</v>
      </c>
      <c r="N47" s="885">
        <f>'Supplemental Data'!N30-N37-N42</f>
        <v>89.396000000000015</v>
      </c>
      <c r="O47" s="885">
        <f>'Supplemental Data'!O30-O37-O42</f>
        <v>88.560999999999908</v>
      </c>
      <c r="P47" s="886">
        <f>'Supplemental Data'!P30-P37-P42</f>
        <v>368.27899999999994</v>
      </c>
      <c r="Q47" s="885">
        <f>'Supplemental Data'!Q30-Q37-Q42</f>
        <v>84.605999999999995</v>
      </c>
      <c r="R47" s="885">
        <f>'Supplemental Data'!R30-R37-R42</f>
        <v>77.923000000000002</v>
      </c>
      <c r="S47" s="885">
        <f>'Supplemental Data'!S30-S37-S42</f>
        <v>79.730999999999995</v>
      </c>
      <c r="T47" s="885">
        <f>'Supplemental Data'!T30-T37-T42</f>
        <v>79.568999999999988</v>
      </c>
      <c r="U47" s="886">
        <f>'Supplemental Data'!U30-U37-U42</f>
        <v>321.82899999999995</v>
      </c>
      <c r="V47" s="885">
        <f>'Supplemental Data'!V30-V37-V42</f>
        <v>71.652000000000015</v>
      </c>
      <c r="W47" s="885">
        <f>'Supplemental Data'!W30-W37-W42</f>
        <v>70.902000000000001</v>
      </c>
      <c r="X47" s="885">
        <f>'Supplemental Data'!X30-X37-X42</f>
        <v>68.704000000000008</v>
      </c>
      <c r="Y47" s="882">
        <f>'Supplemental Data'!Y30-Y37-Y42</f>
        <v>68.266999999999996</v>
      </c>
      <c r="Z47" s="881">
        <f>'Supplemental Data'!Z30-Z37-Z42</f>
        <v>279.52500000000003</v>
      </c>
      <c r="AA47" s="885">
        <f>'Supplemental Data'!AA30-AA37-AA42</f>
        <v>60.175000000000004</v>
      </c>
      <c r="AB47" s="885">
        <f>'Supplemental Data'!AB30-AB37-AB42</f>
        <v>62.002999999999993</v>
      </c>
      <c r="AC47" s="885">
        <f>'Supplemental Data'!AC30-AC37-AC42</f>
        <v>63.126999999999995</v>
      </c>
      <c r="AD47" s="882">
        <f>'Supplemental Data'!AD30-AD37-AD42</f>
        <v>62.667000000000016</v>
      </c>
      <c r="AE47" s="881">
        <f>'Supplemental Data'!AE30-AE37-AE42</f>
        <v>247.97200000000001</v>
      </c>
      <c r="AF47" s="885">
        <f>'Supplemental Data'!AF30-AF37-AF42</f>
        <v>56.358000000000004</v>
      </c>
      <c r="AG47" s="885">
        <f>'Supplemental Data'!AG30-AG37-AG42</f>
        <v>52.98</v>
      </c>
      <c r="AH47" s="885">
        <f>'Supplemental Data'!AH30-AH37-AH42</f>
        <v>51.676000000000002</v>
      </c>
      <c r="AI47" s="882">
        <f>'Supplemental Data'!AI30-AI37-AI42</f>
        <v>51.477999999999966</v>
      </c>
      <c r="AJ47" s="881">
        <f>'Supplemental Data'!AJ30-AJ37-AJ42</f>
        <v>212.49199999999999</v>
      </c>
      <c r="AK47" s="885">
        <f>'Supplemental Data'!AK30-AK37-AK42</f>
        <v>46.730000000000004</v>
      </c>
      <c r="AL47" s="885">
        <f>'Supplemental Data'!AL30-AL37-AL42</f>
        <v>45.853000000000002</v>
      </c>
      <c r="AM47" s="885">
        <f>'Supplemental Data'!AM30-AM37-AM42</f>
        <v>44.083999999999996</v>
      </c>
      <c r="AN47" s="882">
        <f>'Supplemental Data'!AN30-AN37-AN42</f>
        <v>37.343000000000011</v>
      </c>
      <c r="AO47" s="881">
        <f>'Supplemental Data'!AO30-AO37-AO42</f>
        <v>174.00999999999996</v>
      </c>
      <c r="AP47" s="882"/>
      <c r="AQ47" s="882"/>
      <c r="AR47" s="882"/>
      <c r="AS47" s="882"/>
      <c r="AT47" s="881"/>
      <c r="AU47" s="882"/>
      <c r="AV47" s="882"/>
      <c r="AW47" s="883"/>
      <c r="AX47" s="882"/>
      <c r="AY47" s="881"/>
      <c r="AZ47" s="882"/>
      <c r="BA47" s="882"/>
      <c r="BB47" s="882"/>
      <c r="BC47" s="882"/>
      <c r="BD47" s="881"/>
      <c r="BE47" s="881"/>
      <c r="BF47" s="881"/>
      <c r="BG47" s="881"/>
      <c r="BH47" s="821"/>
    </row>
    <row r="48" spans="1:60" customFormat="1" ht="15" x14ac:dyDescent="0.25">
      <c r="A48" s="61" t="s">
        <v>29</v>
      </c>
      <c r="B48" s="492"/>
      <c r="C48" s="869"/>
      <c r="D48" s="869"/>
      <c r="E48" s="869"/>
      <c r="F48" s="872">
        <f t="shared" ref="F48:AO48" si="9">SUM(F45:F47)</f>
        <v>518.01600000000008</v>
      </c>
      <c r="G48" s="871">
        <f t="shared" si="9"/>
        <v>167.923</v>
      </c>
      <c r="H48" s="871">
        <f t="shared" si="9"/>
        <v>194.08699999999999</v>
      </c>
      <c r="I48" s="871">
        <f t="shared" si="9"/>
        <v>198.87099999999998</v>
      </c>
      <c r="J48" s="871">
        <f t="shared" si="9"/>
        <v>226.53599999999989</v>
      </c>
      <c r="K48" s="872">
        <f t="shared" si="9"/>
        <v>787.41700000000014</v>
      </c>
      <c r="L48" s="871">
        <f t="shared" si="9"/>
        <v>263.80499999999995</v>
      </c>
      <c r="M48" s="871">
        <f t="shared" si="9"/>
        <v>304.79600000000005</v>
      </c>
      <c r="N48" s="871">
        <f t="shared" si="9"/>
        <v>309.38400000000001</v>
      </c>
      <c r="O48" s="871">
        <f t="shared" si="9"/>
        <v>266.72500000000019</v>
      </c>
      <c r="P48" s="872">
        <f t="shared" si="9"/>
        <v>1144.7100000000003</v>
      </c>
      <c r="Q48" s="871">
        <f t="shared" si="9"/>
        <v>332.05100000000004</v>
      </c>
      <c r="R48" s="871">
        <f t="shared" si="9"/>
        <v>325.80199999999991</v>
      </c>
      <c r="S48" s="871">
        <f t="shared" si="9"/>
        <v>356.29500000000007</v>
      </c>
      <c r="T48" s="871">
        <f t="shared" si="9"/>
        <v>349.7949999999995</v>
      </c>
      <c r="U48" s="872">
        <f t="shared" si="9"/>
        <v>1363.9429999999995</v>
      </c>
      <c r="V48" s="871">
        <f t="shared" si="9"/>
        <v>307.69000000000005</v>
      </c>
      <c r="W48" s="871">
        <f t="shared" si="9"/>
        <v>339.21699999999998</v>
      </c>
      <c r="X48" s="871">
        <f t="shared" si="9"/>
        <v>385.40300000000008</v>
      </c>
      <c r="Y48" s="870">
        <f t="shared" si="9"/>
        <v>443.37799999999976</v>
      </c>
      <c r="Z48" s="869">
        <f t="shared" si="9"/>
        <v>1475.6880000000001</v>
      </c>
      <c r="AA48" s="871">
        <f t="shared" si="9"/>
        <v>589.75599999999997</v>
      </c>
      <c r="AB48" s="871">
        <f t="shared" si="9"/>
        <v>482.60800000000006</v>
      </c>
      <c r="AC48" s="871">
        <f t="shared" si="9"/>
        <v>546.17399999999998</v>
      </c>
      <c r="AD48" s="870">
        <f t="shared" si="9"/>
        <v>604.89400000000001</v>
      </c>
      <c r="AE48" s="869">
        <f t="shared" si="9"/>
        <v>2223.4319999999998</v>
      </c>
      <c r="AF48" s="871">
        <f t="shared" si="9"/>
        <v>863.5</v>
      </c>
      <c r="AG48" s="871">
        <f t="shared" si="9"/>
        <v>912.83200000000011</v>
      </c>
      <c r="AH48" s="871">
        <f t="shared" si="9"/>
        <v>957.91599999999994</v>
      </c>
      <c r="AI48" s="870">
        <f t="shared" si="9"/>
        <v>723.08599999999899</v>
      </c>
      <c r="AJ48" s="869">
        <f t="shared" si="9"/>
        <v>3457.3339999999994</v>
      </c>
      <c r="AK48" s="871">
        <f t="shared" si="9"/>
        <v>1033.7999999999995</v>
      </c>
      <c r="AL48" s="871">
        <f t="shared" si="9"/>
        <v>1314.3089999999997</v>
      </c>
      <c r="AM48" s="871">
        <f t="shared" si="9"/>
        <v>1593.1889999999999</v>
      </c>
      <c r="AN48" s="870">
        <f t="shared" si="9"/>
        <v>1122.4739999999999</v>
      </c>
      <c r="AO48" s="869">
        <f t="shared" si="9"/>
        <v>5063.7719999999999</v>
      </c>
      <c r="AP48" s="870"/>
      <c r="AQ48" s="870"/>
      <c r="AR48" s="870"/>
      <c r="AS48" s="870"/>
      <c r="AT48" s="869"/>
      <c r="AU48" s="870"/>
      <c r="AV48" s="870"/>
      <c r="AW48" s="887"/>
      <c r="AX48" s="870"/>
      <c r="AY48" s="869"/>
      <c r="AZ48" s="870"/>
      <c r="BA48" s="870"/>
      <c r="BB48" s="870"/>
      <c r="BC48" s="870"/>
      <c r="BD48" s="869"/>
      <c r="BE48" s="869"/>
      <c r="BF48" s="869"/>
      <c r="BG48" s="869"/>
      <c r="BH48" s="824"/>
    </row>
    <row r="49" spans="1:60" customFormat="1" ht="15" x14ac:dyDescent="0.25">
      <c r="A49" s="494"/>
      <c r="B49" s="493"/>
      <c r="C49" s="874"/>
      <c r="D49" s="874"/>
      <c r="E49" s="874"/>
      <c r="F49" s="874"/>
      <c r="G49" s="879"/>
      <c r="H49" s="879"/>
      <c r="I49" s="879"/>
      <c r="J49" s="879"/>
      <c r="K49" s="874"/>
      <c r="L49" s="879"/>
      <c r="M49" s="879"/>
      <c r="N49" s="879"/>
      <c r="O49" s="879"/>
      <c r="P49" s="874"/>
      <c r="Q49" s="879"/>
      <c r="R49" s="879"/>
      <c r="S49" s="879"/>
      <c r="T49" s="879"/>
      <c r="U49" s="874"/>
      <c r="V49" s="879"/>
      <c r="W49" s="879"/>
      <c r="X49" s="879"/>
      <c r="Y49" s="879"/>
      <c r="Z49" s="874"/>
      <c r="AA49" s="879"/>
      <c r="AB49" s="879"/>
      <c r="AC49" s="879"/>
      <c r="AD49" s="879"/>
      <c r="AE49" s="874"/>
      <c r="AF49" s="879"/>
      <c r="AG49" s="879"/>
      <c r="AH49" s="879"/>
      <c r="AI49" s="879"/>
      <c r="AJ49" s="874"/>
      <c r="AK49" s="879"/>
      <c r="AL49" s="879"/>
      <c r="AM49" s="879"/>
      <c r="AN49" s="879"/>
      <c r="AO49" s="874"/>
      <c r="AP49" s="879"/>
      <c r="AQ49" s="879"/>
      <c r="AR49" s="879"/>
      <c r="AS49" s="879"/>
      <c r="AT49" s="874"/>
      <c r="AU49" s="879"/>
      <c r="AV49" s="879"/>
      <c r="AW49" s="880"/>
      <c r="AX49" s="879"/>
      <c r="AY49" s="874"/>
      <c r="AZ49" s="879"/>
      <c r="BA49" s="879"/>
      <c r="BB49" s="879"/>
      <c r="BC49" s="879"/>
      <c r="BD49" s="874"/>
      <c r="BE49" s="874"/>
      <c r="BF49" s="874"/>
      <c r="BG49" s="874"/>
      <c r="BH49" s="824"/>
    </row>
    <row r="50" spans="1:60" customFormat="1" ht="15" x14ac:dyDescent="0.25">
      <c r="A50" s="175" t="s">
        <v>413</v>
      </c>
      <c r="B50" s="496"/>
      <c r="C50" s="325"/>
      <c r="D50" s="325"/>
      <c r="E50" s="325"/>
      <c r="F50" s="45">
        <f>F45/'Supplemental Data'!F26</f>
        <v>0.16889304067797231</v>
      </c>
      <c r="G50" s="67">
        <f>G45/'Supplemental Data'!G26</f>
        <v>0.20566852840918876</v>
      </c>
      <c r="H50" s="67">
        <f>H45/'Supplemental Data'!H26</f>
        <v>0.22547530953420486</v>
      </c>
      <c r="I50" s="67">
        <f>I45/'Supplemental Data'!I26</f>
        <v>0.23746261141690783</v>
      </c>
      <c r="J50" s="67">
        <f>J45/'Supplemental Data'!J26</f>
        <v>0.23444880454362529</v>
      </c>
      <c r="K50" s="45">
        <f>K45/'Supplemental Data'!K26</f>
        <v>0.22634755349597929</v>
      </c>
      <c r="L50" s="67">
        <f>L45/'Supplemental Data'!L26</f>
        <v>0.25201692425781064</v>
      </c>
      <c r="M50" s="67">
        <f>M45/'Supplemental Data'!M26</f>
        <v>0.27113841748933765</v>
      </c>
      <c r="N50" s="67">
        <f>N45/'Supplemental Data'!N26</f>
        <v>0.28598757339109615</v>
      </c>
      <c r="O50" s="67">
        <f>O45/'Supplemental Data'!O26</f>
        <v>0.27993704234164146</v>
      </c>
      <c r="P50" s="45">
        <f>P45/'Supplemental Data'!P26</f>
        <v>0.27283637103321823</v>
      </c>
      <c r="Q50" s="67">
        <f>Q45/'Supplemental Data'!Q26</f>
        <v>0.317360939004522</v>
      </c>
      <c r="R50" s="67">
        <f>R45/'Supplemental Data'!R26</f>
        <v>0.33121229577946665</v>
      </c>
      <c r="S50" s="67">
        <f>S45/'Supplemental Data'!S26</f>
        <v>0.32351937712002604</v>
      </c>
      <c r="T50" s="67">
        <f>T45/'Supplemental Data'!T26</f>
        <v>0.34273414393096113</v>
      </c>
      <c r="U50" s="45">
        <f>U45/'Supplemental Data'!U26</f>
        <v>0.32904030032014148</v>
      </c>
      <c r="V50" s="67">
        <f>V45/'Supplemental Data'!V26</f>
        <v>0.33146521695324227</v>
      </c>
      <c r="W50" s="67">
        <f>W45/'Supplemental Data'!W26</f>
        <v>0.31873727003296448</v>
      </c>
      <c r="X50" s="67">
        <f>X45/'Supplemental Data'!X26</f>
        <v>0.33843044682607892</v>
      </c>
      <c r="Y50" s="168">
        <f>Y45/'Supplemental Data'!Y26</f>
        <v>0.35693734493702006</v>
      </c>
      <c r="Z50" s="325">
        <f>Z45/'Supplemental Data'!Z26</f>
        <v>0.33726658640101931</v>
      </c>
      <c r="AA50" s="67">
        <f>AA45/'Supplemental Data'!AA26</f>
        <v>0.38082925521855837</v>
      </c>
      <c r="AB50" s="67">
        <f>AB45/'Supplemental Data'!AB26</f>
        <v>0.34013041523109616</v>
      </c>
      <c r="AC50" s="67">
        <f>AC45/'Supplemental Data'!AC26</f>
        <v>0.32536113391200938</v>
      </c>
      <c r="AD50" s="168">
        <f>AD45/'Supplemental Data'!AD26</f>
        <v>0.30860885961500961</v>
      </c>
      <c r="AE50" s="325">
        <f>AE45/'Supplemental Data'!AE26</f>
        <v>0.33778832362943428</v>
      </c>
      <c r="AF50" s="67">
        <f>AF45/'Supplemental Data'!AF26</f>
        <v>0.34769966687160953</v>
      </c>
      <c r="AG50" s="67">
        <f>AG45/'Supplemental Data'!AG26</f>
        <v>0.35491294734584744</v>
      </c>
      <c r="AH50" s="67">
        <f>AH45/'Supplemental Data'!AH26</f>
        <v>0.35525784668876603</v>
      </c>
      <c r="AI50" s="168">
        <f>AI45/'Supplemental Data'!AI26</f>
        <v>0.29553096751051555</v>
      </c>
      <c r="AJ50" s="325">
        <f>AJ45/'Supplemental Data'!AJ26</f>
        <v>0.33778229856824826</v>
      </c>
      <c r="AK50" s="67">
        <f>AK45/'Supplemental Data'!AK26</f>
        <v>0.34384137387240743</v>
      </c>
      <c r="AL50" s="67">
        <f>AL45/'Supplemental Data'!AL26</f>
        <v>0.37063634177094612</v>
      </c>
      <c r="AM50" s="67">
        <f>AM45/'Supplemental Data'!AM26</f>
        <v>0.4106361689763483</v>
      </c>
      <c r="AN50" s="168">
        <f>AN45/'Supplemental Data'!AN26</f>
        <v>0.30792789735614656</v>
      </c>
      <c r="AO50" s="325">
        <f>AO45/'Supplemental Data'!AO26</f>
        <v>0.35839210300113433</v>
      </c>
      <c r="AP50" s="168"/>
      <c r="AQ50" s="168"/>
      <c r="AR50" s="168"/>
      <c r="AS50" s="168"/>
      <c r="AT50" s="325"/>
      <c r="AU50" s="168"/>
      <c r="AV50" s="168"/>
      <c r="AW50" s="579"/>
      <c r="AX50" s="168"/>
      <c r="AY50" s="325"/>
      <c r="AZ50" s="168"/>
      <c r="BA50" s="168"/>
      <c r="BB50" s="168"/>
      <c r="BC50" s="168"/>
      <c r="BD50" s="325"/>
      <c r="BE50" s="325"/>
      <c r="BF50" s="325"/>
      <c r="BG50" s="325"/>
      <c r="BH50" s="67"/>
    </row>
    <row r="51" spans="1:60" customFormat="1" ht="15" x14ac:dyDescent="0.25">
      <c r="A51" s="175" t="s">
        <v>414</v>
      </c>
      <c r="B51" s="496"/>
      <c r="C51" s="325"/>
      <c r="D51" s="325"/>
      <c r="E51" s="325"/>
      <c r="F51" s="45">
        <f>F46/'Supplemental Data'!F28</f>
        <v>-1.3533431637812914</v>
      </c>
      <c r="G51" s="67">
        <f>G46/'Supplemental Data'!G28</f>
        <v>-0.54161767087502366</v>
      </c>
      <c r="H51" s="67">
        <f>H46/'Supplemental Data'!H28</f>
        <v>-0.39681860375402367</v>
      </c>
      <c r="I51" s="67">
        <f>I46/'Supplemental Data'!I28</f>
        <v>-0.4058814210247419</v>
      </c>
      <c r="J51" s="67">
        <f>J46/'Supplemental Data'!J28</f>
        <v>-0.25870525431536739</v>
      </c>
      <c r="K51" s="45">
        <f>K46/'Supplemental Data'!K28</f>
        <v>-0.38508682042139841</v>
      </c>
      <c r="L51" s="67">
        <f>L46/'Supplemental Data'!L28</f>
        <v>-0.13098705441041039</v>
      </c>
      <c r="M51" s="67">
        <f>M46/'Supplemental Data'!M28</f>
        <v>-4.9671340430168347E-2</v>
      </c>
      <c r="N51" s="67">
        <f>N46/'Supplemental Data'!N28</f>
        <v>-8.9289381951776908E-2</v>
      </c>
      <c r="O51" s="67">
        <f>O46/'Supplemental Data'!O28</f>
        <v>-0.20284324014884078</v>
      </c>
      <c r="P51" s="45">
        <f>P46/'Supplemental Data'!P28</f>
        <v>-0.12215714710552493</v>
      </c>
      <c r="Q51" s="67">
        <f>Q46/'Supplemental Data'!Q28</f>
        <v>-0.1564936675036171</v>
      </c>
      <c r="R51" s="67">
        <f>R46/'Supplemental Data'!R28</f>
        <v>-0.20211846610212358</v>
      </c>
      <c r="S51" s="67">
        <f>S46/'Supplemental Data'!S28</f>
        <v>-0.13088010524890198</v>
      </c>
      <c r="T51" s="67">
        <f>T46/'Supplemental Data'!T28</f>
        <v>-0.19211518259902363</v>
      </c>
      <c r="U51" s="45">
        <f>U46/'Supplemental Data'!U28</f>
        <v>-0.17066654380616714</v>
      </c>
      <c r="V51" s="67">
        <f>V46/'Supplemental Data'!V28</f>
        <v>-0.22842110754463374</v>
      </c>
      <c r="W51" s="67">
        <f>W46/'Supplemental Data'!W28</f>
        <v>-0.15405677386339503</v>
      </c>
      <c r="X51" s="67">
        <f>X46/'Supplemental Data'!X28</f>
        <v>-0.14613933542672347</v>
      </c>
      <c r="Y51" s="168">
        <f>Y46/'Supplemental Data'!Y28</f>
        <v>-0.1327862348126875</v>
      </c>
      <c r="Z51" s="325">
        <f>Z46/'Supplemental Data'!Z28</f>
        <v>-0.16076852288705257</v>
      </c>
      <c r="AA51" s="67">
        <f>AA46/'Supplemental Data'!AA28</f>
        <v>-2.8918016553256057E-2</v>
      </c>
      <c r="AB51" s="67">
        <f>AB46/'Supplemental Data'!AB28</f>
        <v>-7.8491934625669779E-2</v>
      </c>
      <c r="AC51" s="67">
        <f>AC46/'Supplemental Data'!AC28</f>
        <v>-1.5334084154779722E-2</v>
      </c>
      <c r="AD51" s="168">
        <f>AD46/'Supplemental Data'!AD28</f>
        <v>2.5226903450815734E-2</v>
      </c>
      <c r="AE51" s="325">
        <f>AE46/'Supplemental Data'!AE28</f>
        <v>-2.0231113353772763E-2</v>
      </c>
      <c r="AF51" s="67">
        <f>AF46/'Supplemental Data'!AF28</f>
        <v>9.7819072704684346E-2</v>
      </c>
      <c r="AG51" s="67">
        <f>AG46/'Supplemental Data'!AG28</f>
        <v>9.7818279108697767E-2</v>
      </c>
      <c r="AH51" s="67">
        <f>AH46/'Supplemental Data'!AH28</f>
        <v>0.1104727502340008</v>
      </c>
      <c r="AI51" s="168">
        <f>AI46/'Supplemental Data'!AI28</f>
        <v>3.8801914141010765E-2</v>
      </c>
      <c r="AJ51" s="325">
        <f>AJ46/'Supplemental Data'!AJ28</f>
        <v>8.5059248108320204E-2</v>
      </c>
      <c r="AK51" s="67">
        <f>AK46/'Supplemental Data'!AK28</f>
        <v>0.1158111823433747</v>
      </c>
      <c r="AL51" s="67">
        <f>AL46/'Supplemental Data'!AL28</f>
        <v>0.16339780518085328</v>
      </c>
      <c r="AM51" s="67">
        <f>AM46/'Supplemental Data'!AM28</f>
        <v>0.20228913611285193</v>
      </c>
      <c r="AN51" s="168">
        <f>AN46/'Supplemental Data'!AN28</f>
        <v>0.11163291026916868</v>
      </c>
      <c r="AO51" s="325">
        <f>AO46/'Supplemental Data'!AO28</f>
        <v>0.14855958685879397</v>
      </c>
      <c r="AP51" s="168"/>
      <c r="AQ51" s="168"/>
      <c r="AR51" s="168"/>
      <c r="AS51" s="168"/>
      <c r="AT51" s="325"/>
      <c r="AU51" s="168"/>
      <c r="AV51" s="168"/>
      <c r="AW51" s="579"/>
      <c r="AX51" s="168"/>
      <c r="AY51" s="325"/>
      <c r="AZ51" s="168"/>
      <c r="BA51" s="168"/>
      <c r="BB51" s="168"/>
      <c r="BC51" s="168"/>
      <c r="BD51" s="325"/>
      <c r="BE51" s="325"/>
      <c r="BF51" s="325"/>
      <c r="BG51" s="325"/>
      <c r="BH51" s="67"/>
    </row>
    <row r="52" spans="1:60" customFormat="1" ht="15" x14ac:dyDescent="0.25">
      <c r="A52" s="330" t="s">
        <v>415</v>
      </c>
      <c r="B52" s="498"/>
      <c r="C52" s="342"/>
      <c r="D52" s="342"/>
      <c r="E52" s="342"/>
      <c r="F52" s="341">
        <f>F47/'Supplemental Data'!F30</f>
        <v>0.47336023756412338</v>
      </c>
      <c r="G52" s="332">
        <f>G47/'Supplemental Data'!G30</f>
        <v>0.46648691084412625</v>
      </c>
      <c r="H52" s="332">
        <f>H47/'Supplemental Data'!H30</f>
        <v>0.46736178947504314</v>
      </c>
      <c r="I52" s="332">
        <f>I47/'Supplemental Data'!I30</f>
        <v>0.48086448966713996</v>
      </c>
      <c r="J52" s="332">
        <f>J47/'Supplemental Data'!J30</f>
        <v>0.51672621894606541</v>
      </c>
      <c r="K52" s="341">
        <f>K47/'Supplemental Data'!K30</f>
        <v>0.48197567624838467</v>
      </c>
      <c r="L52" s="332">
        <f>L47/'Supplemental Data'!L30</f>
        <v>0.47725515526977697</v>
      </c>
      <c r="M52" s="332">
        <f>M47/'Supplemental Data'!M30</f>
        <v>0.47654336204107417</v>
      </c>
      <c r="N52" s="332">
        <f>N47/'Supplemental Data'!N30</f>
        <v>0.47908594457574349</v>
      </c>
      <c r="O52" s="332">
        <f>O47/'Supplemental Data'!O30</f>
        <v>0.49340628116486213</v>
      </c>
      <c r="P52" s="341">
        <f>P47/'Supplemental Data'!P30</f>
        <v>0.48130916238543259</v>
      </c>
      <c r="Q52" s="332">
        <f>Q47/'Supplemental Data'!Q30</f>
        <v>0.48848729792147805</v>
      </c>
      <c r="R52" s="332">
        <f>R47/'Supplemental Data'!R30</f>
        <v>0.47508810008657587</v>
      </c>
      <c r="S52" s="332">
        <f>S47/'Supplemental Data'!S30</f>
        <v>0.50615144358954822</v>
      </c>
      <c r="T52" s="332">
        <f>T47/'Supplemental Data'!T30</f>
        <v>0.52696446902215299</v>
      </c>
      <c r="U52" s="341">
        <f>U47/'Supplemental Data'!U30</f>
        <v>0.49839021149477258</v>
      </c>
      <c r="V52" s="332">
        <f>V47/'Supplemental Data'!V30</f>
        <v>0.49501544073452303</v>
      </c>
      <c r="W52" s="332">
        <f>W47/'Supplemental Data'!W30</f>
        <v>0.51107170659977508</v>
      </c>
      <c r="X52" s="332">
        <f>X47/'Supplemental Data'!X30</f>
        <v>0.51901038715769598</v>
      </c>
      <c r="Y52" s="333">
        <f>Y47/'Supplemental Data'!Y30</f>
        <v>0.54003148410369184</v>
      </c>
      <c r="Z52" s="342">
        <f>Z47/'Supplemental Data'!Z30</f>
        <v>0.51547484910569885</v>
      </c>
      <c r="AA52" s="332">
        <f>AA47/'Supplemental Data'!AA30</f>
        <v>0.49981726664119475</v>
      </c>
      <c r="AB52" s="332">
        <f>AB47/'Supplemental Data'!AB30</f>
        <v>0.54039237560682252</v>
      </c>
      <c r="AC52" s="332">
        <f>AC47/'Supplemental Data'!AC30</f>
        <v>0.57276752499682437</v>
      </c>
      <c r="AD52" s="333">
        <f>AD47/'Supplemental Data'!AD30</f>
        <v>0.59596583992696295</v>
      </c>
      <c r="AE52" s="342">
        <f>AE47/'Supplemental Data'!AE30</f>
        <v>0.55044095743145904</v>
      </c>
      <c r="AF52" s="332">
        <f>AF47/'Supplemental Data'!AF30</f>
        <v>0.5707081447276483</v>
      </c>
      <c r="AG52" s="332">
        <f>AG47/'Supplemental Data'!AG30</f>
        <v>0.57026608111599064</v>
      </c>
      <c r="AH52" s="332">
        <f>AH47/'Supplemental Data'!AH30</f>
        <v>0.58208770289602041</v>
      </c>
      <c r="AI52" s="333">
        <f>AI47/'Supplemental Data'!AI30</f>
        <v>0.60450696947990168</v>
      </c>
      <c r="AJ52" s="342">
        <f>AJ47/'Supplemental Data'!AJ30</f>
        <v>0.58123192984471628</v>
      </c>
      <c r="AK52" s="332">
        <f>AK47/'Supplemental Data'!AK30</f>
        <v>0.57914435851675594</v>
      </c>
      <c r="AL52" s="332">
        <f>AL47/'Supplemental Data'!AL30</f>
        <v>0.60174540682414701</v>
      </c>
      <c r="AM52" s="332">
        <f>AM47/'Supplemental Data'!AM30</f>
        <v>0.61332554224578095</v>
      </c>
      <c r="AN52" s="333">
        <f>AN47/'Supplemental Data'!AN30</f>
        <v>0.54553555776310414</v>
      </c>
      <c r="AO52" s="342">
        <f>AO47/'Supplemental Data'!AO30</f>
        <v>0.58546449227332209</v>
      </c>
      <c r="AP52" s="333"/>
      <c r="AQ52" s="333"/>
      <c r="AR52" s="333"/>
      <c r="AS52" s="333"/>
      <c r="AT52" s="342"/>
      <c r="AU52" s="333"/>
      <c r="AV52" s="333"/>
      <c r="AW52" s="580"/>
      <c r="AX52" s="333"/>
      <c r="AY52" s="342"/>
      <c r="AZ52" s="333"/>
      <c r="BA52" s="333"/>
      <c r="BB52" s="333"/>
      <c r="BC52" s="333"/>
      <c r="BD52" s="342"/>
      <c r="BE52" s="342"/>
      <c r="BF52" s="342"/>
      <c r="BG52" s="342"/>
      <c r="BH52" s="67"/>
    </row>
    <row r="53" spans="1:60" customFormat="1" ht="15" x14ac:dyDescent="0.25">
      <c r="A53" s="59" t="s">
        <v>416</v>
      </c>
      <c r="B53" s="499"/>
      <c r="C53" s="329"/>
      <c r="D53" s="329"/>
      <c r="E53" s="329"/>
      <c r="F53" s="326">
        <f>F48/'Supplemental Data'!F32</f>
        <v>0.14352328247003146</v>
      </c>
      <c r="G53" s="327">
        <f>G48/'Supplemental Data'!G32</f>
        <v>0.16399355053561609</v>
      </c>
      <c r="H53" s="327">
        <f>H48/'Supplemental Data'!H32</f>
        <v>0.18149624265456732</v>
      </c>
      <c r="I53" s="327">
        <f>I48/'Supplemental Data'!I32</f>
        <v>0.17981119331934295</v>
      </c>
      <c r="J53" s="327">
        <f>J48/'Supplemental Data'!J32</f>
        <v>0.19275886422232233</v>
      </c>
      <c r="K53" s="326">
        <f>K48/'Supplemental Data'!K32</f>
        <v>0.17999904904765326</v>
      </c>
      <c r="L53" s="327">
        <f>L48/'Supplemental Data'!L32</f>
        <v>0.20770591667198124</v>
      </c>
      <c r="M53" s="327">
        <f>M48/'Supplemental Data'!M32</f>
        <v>0.2273906358292668</v>
      </c>
      <c r="N53" s="327">
        <f>N48/'Supplemental Data'!N32</f>
        <v>0.21950970319958679</v>
      </c>
      <c r="O53" s="327">
        <f>O48/'Supplemental Data'!O32</f>
        <v>0.17964569941430358</v>
      </c>
      <c r="P53" s="326">
        <f>P48/'Supplemental Data'!P32</f>
        <v>0.20795304920053137</v>
      </c>
      <c r="Q53" s="327">
        <f>Q48/'Supplemental Data'!Q32</f>
        <v>0.21107677755606821</v>
      </c>
      <c r="R53" s="327">
        <f>R48/'Supplemental Data'!R32</f>
        <v>0.19809277592062713</v>
      </c>
      <c r="S53" s="327">
        <f>S48/'Supplemental Data'!S32</f>
        <v>0.20496101199122163</v>
      </c>
      <c r="T53" s="327">
        <f>T48/'Supplemental Data'!T32</f>
        <v>0.19184372794218038</v>
      </c>
      <c r="U53" s="326">
        <f>U48/'Supplemental Data'!U32</f>
        <v>0.20118604424419395</v>
      </c>
      <c r="V53" s="327">
        <f>V48/'Supplemental Data'!V32</f>
        <v>0.1571662369185631</v>
      </c>
      <c r="W53" s="327">
        <f>W48/'Supplemental Data'!W32</f>
        <v>0.16113260282613939</v>
      </c>
      <c r="X53" s="327">
        <f>X48/'Supplemental Data'!X32</f>
        <v>0.16828443778414701</v>
      </c>
      <c r="Y53" s="328">
        <f>Y48/'Supplemental Data'!Y32</f>
        <v>0.17895889513029242</v>
      </c>
      <c r="Z53" s="329">
        <f>Z48/'Supplemental Data'!Z32</f>
        <v>0.16710942285346672</v>
      </c>
      <c r="AA53" s="327">
        <f>AA48/'Supplemental Data'!AA32</f>
        <v>0.22367752836475277</v>
      </c>
      <c r="AB53" s="327">
        <f>AB48/'Supplemental Data'!AB32</f>
        <v>0.1732594641323672</v>
      </c>
      <c r="AC53" s="327">
        <f>AC48/'Supplemental Data'!AC32</f>
        <v>0.18298150766920648</v>
      </c>
      <c r="AD53" s="328">
        <f>AD48/'Supplemental Data'!AD32</f>
        <v>0.18409589272480753</v>
      </c>
      <c r="AE53" s="329">
        <f>AE48/'Supplemental Data'!AE32</f>
        <v>0.1901553557330963</v>
      </c>
      <c r="AF53" s="327">
        <f>AF48/'Supplemental Data'!AF32</f>
        <v>0.2333243984634906</v>
      </c>
      <c r="AG53" s="327">
        <f>AG48/'Supplemental Data'!AG32</f>
        <v>0.23362398810422624</v>
      </c>
      <c r="AH53" s="327">
        <f>AH48/'Supplemental Data'!AH32</f>
        <v>0.23951648432979761</v>
      </c>
      <c r="AI53" s="328">
        <f>AI48/'Supplemental Data'!AI32</f>
        <v>0.17270443276924036</v>
      </c>
      <c r="AJ53" s="329">
        <f>AJ48/'Supplemental Data'!AJ32</f>
        <v>0.21889700874509416</v>
      </c>
      <c r="AK53" s="327">
        <f>AK48/'Supplemental Data'!AK32</f>
        <v>0.22866662891683937</v>
      </c>
      <c r="AL53" s="327">
        <f>AL48/'Supplemental Data'!AL32</f>
        <v>0.26696689657525841</v>
      </c>
      <c r="AM53" s="327">
        <f>AM48/'Supplemental Data'!AM32</f>
        <v>0.30375936265766484</v>
      </c>
      <c r="AN53" s="328">
        <f>AN48/'Supplemental Data'!AN32</f>
        <v>0.20530179239475044</v>
      </c>
      <c r="AO53" s="329">
        <f>AO48/'Supplemental Data'!AO32</f>
        <v>0.25122344230607707</v>
      </c>
      <c r="AP53" s="328"/>
      <c r="AQ53" s="328"/>
      <c r="AR53" s="328"/>
      <c r="AS53" s="328"/>
      <c r="AT53" s="329"/>
      <c r="AU53" s="328"/>
      <c r="AV53" s="328"/>
      <c r="AW53" s="581"/>
      <c r="AX53" s="328"/>
      <c r="AY53" s="329"/>
      <c r="AZ53" s="328"/>
      <c r="BA53" s="328"/>
      <c r="BB53" s="328"/>
      <c r="BC53" s="328"/>
      <c r="BD53" s="329"/>
      <c r="BE53" s="329"/>
      <c r="BF53" s="329"/>
      <c r="BG53" s="329"/>
      <c r="BH53" s="70"/>
    </row>
    <row r="54" spans="1:60" s="710" customFormat="1" ht="15" x14ac:dyDescent="0.25">
      <c r="A54" s="718"/>
      <c r="B54" s="719"/>
      <c r="C54" s="729"/>
      <c r="D54" s="729"/>
      <c r="E54" s="729"/>
      <c r="F54" s="729"/>
      <c r="G54" s="391"/>
      <c r="H54" s="391"/>
      <c r="I54" s="391"/>
      <c r="J54" s="391"/>
      <c r="K54" s="729"/>
      <c r="L54" s="391"/>
      <c r="M54" s="391"/>
      <c r="N54" s="391"/>
      <c r="O54" s="391"/>
      <c r="P54" s="729"/>
      <c r="Q54" s="391"/>
      <c r="R54" s="391"/>
      <c r="S54" s="391"/>
      <c r="T54" s="391"/>
      <c r="U54" s="729"/>
      <c r="V54" s="391"/>
      <c r="W54" s="391"/>
      <c r="X54" s="391"/>
      <c r="Y54" s="391"/>
      <c r="Z54" s="729"/>
      <c r="AA54" s="391"/>
      <c r="AB54" s="391"/>
      <c r="AC54" s="391"/>
      <c r="AD54" s="391"/>
      <c r="AE54" s="729"/>
      <c r="AF54" s="391"/>
      <c r="AG54" s="391"/>
      <c r="AH54" s="391"/>
      <c r="AI54" s="391"/>
      <c r="AJ54" s="729"/>
      <c r="AK54" s="391"/>
      <c r="AL54" s="391"/>
      <c r="AM54" s="391"/>
      <c r="AN54" s="391"/>
      <c r="AO54" s="729"/>
      <c r="AP54" s="391"/>
      <c r="AQ54" s="391"/>
      <c r="AR54" s="391"/>
      <c r="AS54" s="391"/>
      <c r="AT54" s="729"/>
      <c r="AU54" s="391"/>
      <c r="AV54" s="391"/>
      <c r="AW54" s="734"/>
      <c r="AX54" s="720"/>
      <c r="AY54" s="721"/>
      <c r="AZ54" s="720"/>
      <c r="BA54" s="720"/>
      <c r="BB54" s="720"/>
      <c r="BC54" s="720"/>
      <c r="BD54" s="721"/>
      <c r="BE54" s="721"/>
      <c r="BF54" s="721"/>
      <c r="BG54" s="721"/>
      <c r="BH54" s="715"/>
    </row>
    <row r="55" spans="1:60" customFormat="1" ht="15" x14ac:dyDescent="0.25">
      <c r="A55" s="819" t="s">
        <v>515</v>
      </c>
      <c r="B55" s="819"/>
      <c r="C55" s="861"/>
      <c r="D55" s="861"/>
      <c r="E55" s="861"/>
      <c r="F55" s="861"/>
      <c r="G55" s="861"/>
      <c r="H55" s="861"/>
      <c r="I55" s="861"/>
      <c r="J55" s="861"/>
      <c r="K55" s="861"/>
      <c r="L55" s="861"/>
      <c r="M55" s="861"/>
      <c r="N55" s="861"/>
      <c r="O55" s="861"/>
      <c r="P55" s="861"/>
      <c r="Q55" s="861"/>
      <c r="R55" s="861"/>
      <c r="S55" s="861"/>
      <c r="T55" s="861"/>
      <c r="U55" s="861"/>
      <c r="V55" s="861"/>
      <c r="W55" s="861"/>
      <c r="X55" s="861"/>
      <c r="Y55" s="861"/>
      <c r="Z55" s="861"/>
      <c r="AA55" s="861"/>
      <c r="AB55" s="861"/>
      <c r="AC55" s="861"/>
      <c r="AD55" s="861"/>
      <c r="AE55" s="861"/>
      <c r="AF55" s="861"/>
      <c r="AG55" s="861"/>
      <c r="AH55" s="861"/>
      <c r="AI55" s="861"/>
      <c r="AJ55" s="861"/>
      <c r="AK55" s="861"/>
      <c r="AL55" s="861"/>
      <c r="AM55" s="861"/>
      <c r="AN55" s="861"/>
      <c r="AO55" s="861"/>
      <c r="AP55" s="861"/>
      <c r="AQ55" s="861"/>
      <c r="AR55" s="861"/>
      <c r="AS55" s="861"/>
      <c r="AT55" s="861"/>
      <c r="AU55" s="861"/>
      <c r="AV55" s="861"/>
      <c r="AW55" s="862"/>
      <c r="AX55" s="861"/>
      <c r="AY55" s="861"/>
      <c r="AZ55" s="861"/>
      <c r="BA55" s="861"/>
      <c r="BB55" s="861"/>
      <c r="BC55" s="861"/>
      <c r="BD55" s="861"/>
      <c r="BE55" s="861"/>
      <c r="BF55" s="861"/>
      <c r="BG55" s="861"/>
      <c r="BH55" s="824"/>
    </row>
    <row r="56" spans="1:60" s="376" customFormat="1" ht="15" x14ac:dyDescent="0.25">
      <c r="A56" s="379" t="s">
        <v>468</v>
      </c>
      <c r="B56" s="487"/>
      <c r="C56" s="400"/>
      <c r="D56" s="400"/>
      <c r="E56" s="400"/>
      <c r="F56" s="400"/>
      <c r="G56" s="89">
        <f>F58</f>
        <v>25471</v>
      </c>
      <c r="H56" s="89">
        <f>G58</f>
        <v>27913</v>
      </c>
      <c r="I56" s="89">
        <f>H58</f>
        <v>28624</v>
      </c>
      <c r="J56" s="89">
        <f>I58</f>
        <v>29925</v>
      </c>
      <c r="K56" s="377">
        <f>F58</f>
        <v>25471</v>
      </c>
      <c r="L56" s="89">
        <f>K58</f>
        <v>31712</v>
      </c>
      <c r="M56" s="89">
        <f>L58</f>
        <v>34377</v>
      </c>
      <c r="N56" s="89">
        <f>M58</f>
        <v>35085</v>
      </c>
      <c r="O56" s="89">
        <f>N58</f>
        <v>36265</v>
      </c>
      <c r="P56" s="377">
        <f>K58</f>
        <v>31712</v>
      </c>
      <c r="Q56" s="89">
        <f>P58</f>
        <v>37698</v>
      </c>
      <c r="R56" s="89">
        <f>Q58</f>
        <v>40315</v>
      </c>
      <c r="S56" s="89">
        <f>R58</f>
        <v>41057</v>
      </c>
      <c r="T56" s="89">
        <f>S58</f>
        <v>42068</v>
      </c>
      <c r="U56" s="377">
        <f>P58</f>
        <v>37698</v>
      </c>
      <c r="V56" s="89">
        <f>U58</f>
        <v>43401</v>
      </c>
      <c r="W56" s="89">
        <f>V58</f>
        <v>45714</v>
      </c>
      <c r="X56" s="89">
        <f>W58</f>
        <v>46004</v>
      </c>
      <c r="Y56" s="399">
        <f>X58</f>
        <v>46479</v>
      </c>
      <c r="Z56" s="400">
        <f>U58</f>
        <v>43401</v>
      </c>
      <c r="AA56" s="89">
        <f>Z58</f>
        <v>47905</v>
      </c>
      <c r="AB56" s="89">
        <f>AA58</f>
        <v>49375</v>
      </c>
      <c r="AC56" s="89">
        <f>AB58</f>
        <v>50323</v>
      </c>
      <c r="AD56" s="399">
        <f>AC58</f>
        <v>51345</v>
      </c>
      <c r="AE56" s="400">
        <f>Z58</f>
        <v>47905</v>
      </c>
      <c r="AF56" s="89">
        <f>AE58</f>
        <v>52810</v>
      </c>
      <c r="AG56" s="89">
        <f>AF58</f>
        <v>55087</v>
      </c>
      <c r="AH56" s="89">
        <f>AG58</f>
        <v>55959</v>
      </c>
      <c r="AI56" s="399">
        <f>AH58</f>
        <v>56957</v>
      </c>
      <c r="AJ56" s="400">
        <f>AE58</f>
        <v>52810</v>
      </c>
      <c r="AK56" s="89">
        <f>AJ58</f>
        <v>58486</v>
      </c>
      <c r="AL56" s="89">
        <f>AK58</f>
        <v>60229</v>
      </c>
      <c r="AM56" s="89">
        <f>AL58</f>
        <v>60103</v>
      </c>
      <c r="AN56" s="399">
        <f>AM58</f>
        <v>60620</v>
      </c>
      <c r="AO56" s="400">
        <f>AJ58</f>
        <v>58486</v>
      </c>
      <c r="AP56" s="399"/>
      <c r="AQ56" s="399"/>
      <c r="AR56" s="399"/>
      <c r="AS56" s="399"/>
      <c r="AT56" s="400"/>
      <c r="AU56" s="399"/>
      <c r="AV56" s="399"/>
      <c r="AW56" s="574"/>
      <c r="AX56" s="399"/>
      <c r="AY56" s="400"/>
      <c r="AZ56" s="399"/>
      <c r="BA56" s="399"/>
      <c r="BB56" s="399"/>
      <c r="BC56" s="399"/>
      <c r="BD56" s="400"/>
      <c r="BE56" s="400"/>
      <c r="BF56" s="400"/>
      <c r="BG56" s="400"/>
      <c r="BH56" s="89"/>
    </row>
    <row r="57" spans="1:60" s="376" customFormat="1" ht="15" x14ac:dyDescent="0.25">
      <c r="A57" s="401" t="s">
        <v>469</v>
      </c>
      <c r="B57" s="488"/>
      <c r="C57" s="548"/>
      <c r="D57" s="548"/>
      <c r="E57" s="548"/>
      <c r="F57" s="548"/>
      <c r="G57" s="403">
        <f t="shared" ref="G57:AO57" si="10">G58-G56</f>
        <v>2442</v>
      </c>
      <c r="H57" s="403">
        <f t="shared" si="10"/>
        <v>711</v>
      </c>
      <c r="I57" s="403">
        <f t="shared" si="10"/>
        <v>1301</v>
      </c>
      <c r="J57" s="403">
        <f t="shared" si="10"/>
        <v>1787</v>
      </c>
      <c r="K57" s="402">
        <f t="shared" si="10"/>
        <v>6241</v>
      </c>
      <c r="L57" s="403">
        <f t="shared" si="10"/>
        <v>2665</v>
      </c>
      <c r="M57" s="403">
        <f t="shared" si="10"/>
        <v>708</v>
      </c>
      <c r="N57" s="403">
        <f t="shared" si="10"/>
        <v>1180</v>
      </c>
      <c r="O57" s="403">
        <f t="shared" si="10"/>
        <v>1433</v>
      </c>
      <c r="P57" s="402">
        <f t="shared" si="10"/>
        <v>5986</v>
      </c>
      <c r="Q57" s="403">
        <f t="shared" si="10"/>
        <v>2617</v>
      </c>
      <c r="R57" s="403">
        <f t="shared" si="10"/>
        <v>742</v>
      </c>
      <c r="S57" s="403">
        <f t="shared" si="10"/>
        <v>1011</v>
      </c>
      <c r="T57" s="403">
        <f t="shared" si="10"/>
        <v>1333</v>
      </c>
      <c r="U57" s="402">
        <f t="shared" si="10"/>
        <v>5703</v>
      </c>
      <c r="V57" s="403">
        <f t="shared" si="10"/>
        <v>2313</v>
      </c>
      <c r="W57" s="403">
        <f t="shared" si="10"/>
        <v>290</v>
      </c>
      <c r="X57" s="403">
        <f t="shared" si="10"/>
        <v>475</v>
      </c>
      <c r="Y57" s="403">
        <f t="shared" si="10"/>
        <v>1426</v>
      </c>
      <c r="Z57" s="402">
        <f t="shared" si="10"/>
        <v>4504</v>
      </c>
      <c r="AA57" s="403">
        <f t="shared" si="10"/>
        <v>1470</v>
      </c>
      <c r="AB57" s="403">
        <f t="shared" si="10"/>
        <v>948</v>
      </c>
      <c r="AC57" s="403">
        <f t="shared" si="10"/>
        <v>1022</v>
      </c>
      <c r="AD57" s="403">
        <f t="shared" si="10"/>
        <v>1465</v>
      </c>
      <c r="AE57" s="402">
        <f t="shared" si="10"/>
        <v>4905</v>
      </c>
      <c r="AF57" s="403">
        <f t="shared" si="10"/>
        <v>2277</v>
      </c>
      <c r="AG57" s="403">
        <f t="shared" si="10"/>
        <v>872</v>
      </c>
      <c r="AH57" s="403">
        <f t="shared" si="10"/>
        <v>998</v>
      </c>
      <c r="AI57" s="403">
        <f t="shared" si="10"/>
        <v>1529</v>
      </c>
      <c r="AJ57" s="402">
        <f t="shared" si="10"/>
        <v>5676</v>
      </c>
      <c r="AK57" s="403">
        <f t="shared" si="10"/>
        <v>1743</v>
      </c>
      <c r="AL57" s="403">
        <f t="shared" si="10"/>
        <v>-126</v>
      </c>
      <c r="AM57" s="403">
        <f t="shared" si="10"/>
        <v>517</v>
      </c>
      <c r="AN57" s="403">
        <f t="shared" si="10"/>
        <v>423</v>
      </c>
      <c r="AO57" s="402">
        <f t="shared" si="10"/>
        <v>2557</v>
      </c>
      <c r="AP57" s="489"/>
      <c r="AQ57" s="489"/>
      <c r="AR57" s="489"/>
      <c r="AS57" s="489"/>
      <c r="AT57" s="548"/>
      <c r="AU57" s="489"/>
      <c r="AV57" s="489"/>
      <c r="AW57" s="575"/>
      <c r="AX57" s="489"/>
      <c r="AY57" s="548"/>
      <c r="AZ57" s="489"/>
      <c r="BA57" s="489"/>
      <c r="BB57" s="489"/>
      <c r="BC57" s="489"/>
      <c r="BD57" s="548"/>
      <c r="BE57" s="548"/>
      <c r="BF57" s="548"/>
      <c r="BG57" s="548"/>
      <c r="BH57" s="280"/>
    </row>
    <row r="58" spans="1:60" s="376" customFormat="1" ht="15" x14ac:dyDescent="0.25">
      <c r="A58" s="380" t="s">
        <v>470</v>
      </c>
      <c r="B58" s="485"/>
      <c r="C58" s="405"/>
      <c r="D58" s="405"/>
      <c r="E58" s="405"/>
      <c r="F58" s="381">
        <v>25471</v>
      </c>
      <c r="G58" s="382">
        <v>27913</v>
      </c>
      <c r="H58" s="382">
        <v>28624</v>
      </c>
      <c r="I58" s="382">
        <v>29925</v>
      </c>
      <c r="J58" s="382">
        <f>K58</f>
        <v>31712</v>
      </c>
      <c r="K58" s="381">
        <v>31712</v>
      </c>
      <c r="L58" s="382">
        <v>34377</v>
      </c>
      <c r="M58" s="382">
        <v>35085</v>
      </c>
      <c r="N58" s="382">
        <v>36265</v>
      </c>
      <c r="O58" s="382">
        <f>P58</f>
        <v>37698</v>
      </c>
      <c r="P58" s="381">
        <v>37698</v>
      </c>
      <c r="Q58" s="382">
        <v>40315</v>
      </c>
      <c r="R58" s="382">
        <v>41057</v>
      </c>
      <c r="S58" s="382">
        <v>42068</v>
      </c>
      <c r="T58" s="382">
        <v>43401</v>
      </c>
      <c r="U58" s="381">
        <v>43401</v>
      </c>
      <c r="V58" s="382">
        <v>45714</v>
      </c>
      <c r="W58" s="382">
        <v>46004</v>
      </c>
      <c r="X58" s="382">
        <v>46479</v>
      </c>
      <c r="Y58" s="404">
        <f>Z58</f>
        <v>47905</v>
      </c>
      <c r="Z58" s="405">
        <v>47905</v>
      </c>
      <c r="AA58" s="382">
        <v>49375</v>
      </c>
      <c r="AB58" s="382">
        <v>50323</v>
      </c>
      <c r="AC58" s="382">
        <v>51345</v>
      </c>
      <c r="AD58" s="404">
        <f>AE58</f>
        <v>52810</v>
      </c>
      <c r="AE58" s="405">
        <v>52810</v>
      </c>
      <c r="AF58" s="382">
        <v>55087</v>
      </c>
      <c r="AG58" s="382">
        <v>55959</v>
      </c>
      <c r="AH58" s="382">
        <v>56957</v>
      </c>
      <c r="AI58" s="404">
        <f>AJ58</f>
        <v>58486</v>
      </c>
      <c r="AJ58" s="405">
        <v>58486</v>
      </c>
      <c r="AK58" s="382">
        <v>60229</v>
      </c>
      <c r="AL58" s="382">
        <v>60103</v>
      </c>
      <c r="AM58" s="382">
        <v>60620</v>
      </c>
      <c r="AN58" s="404">
        <f>AO58</f>
        <v>61043</v>
      </c>
      <c r="AO58" s="405">
        <v>61043</v>
      </c>
      <c r="AP58" s="404"/>
      <c r="AQ58" s="404"/>
      <c r="AR58" s="404"/>
      <c r="AS58" s="404"/>
      <c r="AT58" s="405"/>
      <c r="AU58" s="404"/>
      <c r="AV58" s="404"/>
      <c r="AW58" s="582"/>
      <c r="AX58" s="404"/>
      <c r="AY58" s="405"/>
      <c r="AZ58" s="404"/>
      <c r="BA58" s="404"/>
      <c r="BB58" s="404"/>
      <c r="BC58" s="404"/>
      <c r="BD58" s="405"/>
      <c r="BE58" s="405"/>
      <c r="BF58" s="405"/>
      <c r="BG58" s="405"/>
      <c r="BH58" s="89"/>
    </row>
    <row r="59" spans="1:60" s="376" customFormat="1" ht="15" x14ac:dyDescent="0.25">
      <c r="A59" s="379" t="s">
        <v>471</v>
      </c>
      <c r="B59" s="487"/>
      <c r="C59" s="400"/>
      <c r="D59" s="400"/>
      <c r="E59" s="400"/>
      <c r="F59" s="400"/>
      <c r="G59" s="89">
        <f t="shared" ref="G59:AO59" si="11">AVERAGE(G56,G58)</f>
        <v>26692</v>
      </c>
      <c r="H59" s="89">
        <f t="shared" si="11"/>
        <v>28268.5</v>
      </c>
      <c r="I59" s="89">
        <f t="shared" si="11"/>
        <v>29274.5</v>
      </c>
      <c r="J59" s="89">
        <f t="shared" si="11"/>
        <v>30818.5</v>
      </c>
      <c r="K59" s="377">
        <f t="shared" si="11"/>
        <v>28591.5</v>
      </c>
      <c r="L59" s="89">
        <f t="shared" si="11"/>
        <v>33044.5</v>
      </c>
      <c r="M59" s="89">
        <f t="shared" si="11"/>
        <v>34731</v>
      </c>
      <c r="N59" s="89">
        <f t="shared" si="11"/>
        <v>35675</v>
      </c>
      <c r="O59" s="89">
        <f t="shared" si="11"/>
        <v>36981.5</v>
      </c>
      <c r="P59" s="377">
        <f t="shared" si="11"/>
        <v>34705</v>
      </c>
      <c r="Q59" s="89">
        <f t="shared" si="11"/>
        <v>39006.5</v>
      </c>
      <c r="R59" s="89">
        <f t="shared" si="11"/>
        <v>40686</v>
      </c>
      <c r="S59" s="89">
        <f t="shared" si="11"/>
        <v>41562.5</v>
      </c>
      <c r="T59" s="89">
        <f t="shared" si="11"/>
        <v>42734.5</v>
      </c>
      <c r="U59" s="377">
        <f t="shared" si="11"/>
        <v>40549.5</v>
      </c>
      <c r="V59" s="89">
        <f t="shared" si="11"/>
        <v>44557.5</v>
      </c>
      <c r="W59" s="89">
        <f t="shared" si="11"/>
        <v>45859</v>
      </c>
      <c r="X59" s="89">
        <f t="shared" si="11"/>
        <v>46241.5</v>
      </c>
      <c r="Y59" s="399">
        <f t="shared" si="11"/>
        <v>47192</v>
      </c>
      <c r="Z59" s="400">
        <f t="shared" si="11"/>
        <v>45653</v>
      </c>
      <c r="AA59" s="89">
        <f t="shared" si="11"/>
        <v>48640</v>
      </c>
      <c r="AB59" s="89">
        <f t="shared" si="11"/>
        <v>49849</v>
      </c>
      <c r="AC59" s="89">
        <f t="shared" si="11"/>
        <v>50834</v>
      </c>
      <c r="AD59" s="399">
        <f t="shared" si="11"/>
        <v>52077.5</v>
      </c>
      <c r="AE59" s="400">
        <f t="shared" si="11"/>
        <v>50357.5</v>
      </c>
      <c r="AF59" s="89">
        <f t="shared" si="11"/>
        <v>53948.5</v>
      </c>
      <c r="AG59" s="89">
        <f t="shared" si="11"/>
        <v>55523</v>
      </c>
      <c r="AH59" s="89">
        <f t="shared" si="11"/>
        <v>56458</v>
      </c>
      <c r="AI59" s="399">
        <f t="shared" si="11"/>
        <v>57721.5</v>
      </c>
      <c r="AJ59" s="400">
        <f t="shared" si="11"/>
        <v>55648</v>
      </c>
      <c r="AK59" s="89">
        <f t="shared" si="11"/>
        <v>59357.5</v>
      </c>
      <c r="AL59" s="89">
        <f t="shared" si="11"/>
        <v>60166</v>
      </c>
      <c r="AM59" s="89">
        <f t="shared" si="11"/>
        <v>60361.5</v>
      </c>
      <c r="AN59" s="399">
        <f t="shared" si="11"/>
        <v>60831.5</v>
      </c>
      <c r="AO59" s="400">
        <f t="shared" si="11"/>
        <v>59764.5</v>
      </c>
      <c r="AP59" s="399"/>
      <c r="AQ59" s="399"/>
      <c r="AR59" s="399"/>
      <c r="AS59" s="399"/>
      <c r="AT59" s="400"/>
      <c r="AU59" s="399"/>
      <c r="AV59" s="399"/>
      <c r="AW59" s="574"/>
      <c r="AX59" s="399"/>
      <c r="AY59" s="400"/>
      <c r="AZ59" s="399"/>
      <c r="BA59" s="399"/>
      <c r="BB59" s="399"/>
      <c r="BC59" s="399"/>
      <c r="BD59" s="400"/>
      <c r="BE59" s="400"/>
      <c r="BF59" s="400"/>
      <c r="BG59" s="400"/>
      <c r="BH59" s="89"/>
    </row>
    <row r="60" spans="1:60" s="376" customFormat="1" ht="15" x14ac:dyDescent="0.25">
      <c r="A60" s="500"/>
      <c r="B60" s="484"/>
      <c r="C60" s="803"/>
      <c r="D60" s="803"/>
      <c r="E60" s="803"/>
      <c r="F60" s="803"/>
      <c r="G60" s="406"/>
      <c r="H60" s="406"/>
      <c r="I60" s="406"/>
      <c r="J60" s="406"/>
      <c r="K60" s="803"/>
      <c r="L60" s="406"/>
      <c r="M60" s="406"/>
      <c r="N60" s="406"/>
      <c r="O60" s="406"/>
      <c r="P60" s="803"/>
      <c r="Q60" s="406"/>
      <c r="R60" s="406"/>
      <c r="S60" s="406"/>
      <c r="T60" s="406"/>
      <c r="U60" s="803"/>
      <c r="V60" s="406"/>
      <c r="W60" s="406"/>
      <c r="X60" s="406"/>
      <c r="Y60" s="406"/>
      <c r="Z60" s="803"/>
      <c r="AA60" s="406"/>
      <c r="AB60" s="406"/>
      <c r="AC60" s="406"/>
      <c r="AD60" s="406"/>
      <c r="AE60" s="803"/>
      <c r="AF60" s="406"/>
      <c r="AG60" s="406"/>
      <c r="AH60" s="406"/>
      <c r="AI60" s="406"/>
      <c r="AJ60" s="803"/>
      <c r="AK60" s="406"/>
      <c r="AL60" s="406"/>
      <c r="AM60" s="406"/>
      <c r="AN60" s="406"/>
      <c r="AO60" s="803"/>
      <c r="AP60" s="406"/>
      <c r="AQ60" s="406"/>
      <c r="AR60" s="406"/>
      <c r="AS60" s="406"/>
      <c r="AT60" s="803"/>
      <c r="AU60" s="406"/>
      <c r="AV60" s="406"/>
      <c r="AW60" s="572"/>
      <c r="AX60" s="406"/>
      <c r="AY60" s="803"/>
      <c r="AZ60" s="406"/>
      <c r="BA60" s="406"/>
      <c r="BB60" s="406"/>
      <c r="BC60" s="406"/>
      <c r="BD60" s="803"/>
      <c r="BE60" s="803"/>
      <c r="BF60" s="803"/>
      <c r="BG60" s="803"/>
      <c r="BH60" s="280"/>
    </row>
    <row r="61" spans="1:60" s="376" customFormat="1" ht="15" x14ac:dyDescent="0.25">
      <c r="A61" s="379" t="s">
        <v>472</v>
      </c>
      <c r="B61" s="487"/>
      <c r="C61" s="400"/>
      <c r="D61" s="400"/>
      <c r="E61" s="400"/>
      <c r="F61" s="400"/>
      <c r="G61" s="89">
        <f>F63</f>
        <v>4892</v>
      </c>
      <c r="H61" s="89">
        <f>G63</f>
        <v>6331</v>
      </c>
      <c r="I61" s="89">
        <f>H63</f>
        <v>7014</v>
      </c>
      <c r="J61" s="89">
        <f>I63</f>
        <v>8084</v>
      </c>
      <c r="K61" s="377">
        <f>F63</f>
        <v>4892</v>
      </c>
      <c r="L61" s="89">
        <f>K63</f>
        <v>9722</v>
      </c>
      <c r="M61" s="89">
        <f>L63</f>
        <v>11755</v>
      </c>
      <c r="N61" s="89">
        <f>M63</f>
        <v>12907</v>
      </c>
      <c r="O61" s="89">
        <f>N63</f>
        <v>14389</v>
      </c>
      <c r="P61" s="377">
        <f>K63</f>
        <v>9722</v>
      </c>
      <c r="Q61" s="89">
        <f>P63</f>
        <v>16778</v>
      </c>
      <c r="R61" s="89">
        <f>Q63</f>
        <v>19304</v>
      </c>
      <c r="S61" s="89">
        <f>R63</f>
        <v>21649</v>
      </c>
      <c r="T61" s="89">
        <f>S63</f>
        <v>23951</v>
      </c>
      <c r="U61" s="377">
        <f>P63</f>
        <v>16778</v>
      </c>
      <c r="V61" s="89">
        <f>U63</f>
        <v>27438</v>
      </c>
      <c r="W61" s="89">
        <f>V63</f>
        <v>31993</v>
      </c>
      <c r="X61" s="89">
        <f>W63</f>
        <v>33892</v>
      </c>
      <c r="Y61" s="399">
        <f>X63</f>
        <v>36799</v>
      </c>
      <c r="Z61" s="400">
        <f>U63</f>
        <v>27438</v>
      </c>
      <c r="AA61" s="89">
        <f>Z63</f>
        <v>41185</v>
      </c>
      <c r="AB61" s="89">
        <f>AA63</f>
        <v>44988</v>
      </c>
      <c r="AC61" s="89">
        <f>AB63</f>
        <v>48713</v>
      </c>
      <c r="AD61" s="399">
        <f>AC63</f>
        <v>52678</v>
      </c>
      <c r="AE61" s="400">
        <f>Z63</f>
        <v>41185</v>
      </c>
      <c r="AF61" s="89">
        <f>AE63</f>
        <v>57834</v>
      </c>
      <c r="AG61" s="89">
        <f>AF63</f>
        <v>63815</v>
      </c>
      <c r="AH61" s="89">
        <f>AG63</f>
        <v>68395</v>
      </c>
      <c r="AI61" s="399">
        <f>AH63</f>
        <v>73465</v>
      </c>
      <c r="AJ61" s="400">
        <f>AE63</f>
        <v>57834</v>
      </c>
      <c r="AK61" s="89">
        <f>AJ63</f>
        <v>80773</v>
      </c>
      <c r="AL61" s="89">
        <f>AK63</f>
        <v>88634</v>
      </c>
      <c r="AM61" s="89">
        <f>AL63</f>
        <v>91459</v>
      </c>
      <c r="AN61" s="399">
        <f>AM63</f>
        <v>97714</v>
      </c>
      <c r="AO61" s="400">
        <f>AJ63</f>
        <v>80773</v>
      </c>
      <c r="AP61" s="399"/>
      <c r="AQ61" s="399"/>
      <c r="AR61" s="399"/>
      <c r="AS61" s="399"/>
      <c r="AT61" s="400"/>
      <c r="AU61" s="399"/>
      <c r="AV61" s="399"/>
      <c r="AW61" s="574"/>
      <c r="AX61" s="399"/>
      <c r="AY61" s="400"/>
      <c r="AZ61" s="399"/>
      <c r="BA61" s="399"/>
      <c r="BB61" s="399"/>
      <c r="BC61" s="399"/>
      <c r="BD61" s="400"/>
      <c r="BE61" s="400"/>
      <c r="BF61" s="400"/>
      <c r="BG61" s="400"/>
      <c r="BH61" s="89"/>
    </row>
    <row r="62" spans="1:60" s="376" customFormat="1" ht="15" x14ac:dyDescent="0.25">
      <c r="A62" s="401" t="s">
        <v>473</v>
      </c>
      <c r="B62" s="488"/>
      <c r="C62" s="548"/>
      <c r="D62" s="548"/>
      <c r="E62" s="548"/>
      <c r="F62" s="548"/>
      <c r="G62" s="403">
        <f t="shared" ref="G62:AO62" si="12">G63-G61</f>
        <v>1439</v>
      </c>
      <c r="H62" s="403">
        <f t="shared" si="12"/>
        <v>683</v>
      </c>
      <c r="I62" s="403">
        <f t="shared" si="12"/>
        <v>1070</v>
      </c>
      <c r="J62" s="403">
        <f t="shared" si="12"/>
        <v>1638</v>
      </c>
      <c r="K62" s="402">
        <f t="shared" si="12"/>
        <v>4830</v>
      </c>
      <c r="L62" s="403">
        <f t="shared" si="12"/>
        <v>2033</v>
      </c>
      <c r="M62" s="403">
        <f t="shared" si="12"/>
        <v>1152</v>
      </c>
      <c r="N62" s="403">
        <f t="shared" si="12"/>
        <v>1482</v>
      </c>
      <c r="O62" s="403">
        <f t="shared" si="12"/>
        <v>2389</v>
      </c>
      <c r="P62" s="402">
        <f t="shared" si="12"/>
        <v>7056</v>
      </c>
      <c r="Q62" s="403">
        <f t="shared" si="12"/>
        <v>2526</v>
      </c>
      <c r="R62" s="403">
        <f t="shared" si="12"/>
        <v>2345</v>
      </c>
      <c r="S62" s="403">
        <f t="shared" si="12"/>
        <v>2302</v>
      </c>
      <c r="T62" s="403">
        <f t="shared" si="12"/>
        <v>3487</v>
      </c>
      <c r="U62" s="402">
        <f t="shared" si="12"/>
        <v>10660</v>
      </c>
      <c r="V62" s="403">
        <f t="shared" si="12"/>
        <v>4555</v>
      </c>
      <c r="W62" s="403">
        <f t="shared" si="12"/>
        <v>1899</v>
      </c>
      <c r="X62" s="403">
        <f t="shared" si="12"/>
        <v>2907</v>
      </c>
      <c r="Y62" s="403">
        <f t="shared" si="12"/>
        <v>4386</v>
      </c>
      <c r="Z62" s="402">
        <f t="shared" si="12"/>
        <v>13747</v>
      </c>
      <c r="AA62" s="403">
        <f t="shared" si="12"/>
        <v>3803</v>
      </c>
      <c r="AB62" s="403">
        <f t="shared" si="12"/>
        <v>3725</v>
      </c>
      <c r="AC62" s="403">
        <f t="shared" si="12"/>
        <v>3965</v>
      </c>
      <c r="AD62" s="403">
        <f t="shared" si="12"/>
        <v>5156</v>
      </c>
      <c r="AE62" s="402">
        <f t="shared" si="12"/>
        <v>16649</v>
      </c>
      <c r="AF62" s="403">
        <f t="shared" si="12"/>
        <v>5981</v>
      </c>
      <c r="AG62" s="403">
        <f t="shared" si="12"/>
        <v>4580</v>
      </c>
      <c r="AH62" s="403">
        <f t="shared" si="12"/>
        <v>5070</v>
      </c>
      <c r="AI62" s="403">
        <f t="shared" si="12"/>
        <v>7308</v>
      </c>
      <c r="AJ62" s="402">
        <f t="shared" si="12"/>
        <v>22939</v>
      </c>
      <c r="AK62" s="403">
        <f t="shared" si="12"/>
        <v>7861</v>
      </c>
      <c r="AL62" s="403">
        <f t="shared" si="12"/>
        <v>2825</v>
      </c>
      <c r="AM62" s="403">
        <f t="shared" si="12"/>
        <v>6255</v>
      </c>
      <c r="AN62" s="403">
        <f t="shared" si="12"/>
        <v>8333</v>
      </c>
      <c r="AO62" s="402">
        <f t="shared" si="12"/>
        <v>25274</v>
      </c>
      <c r="AP62" s="489"/>
      <c r="AQ62" s="489"/>
      <c r="AR62" s="489"/>
      <c r="AS62" s="489"/>
      <c r="AT62" s="548"/>
      <c r="AU62" s="489"/>
      <c r="AV62" s="489"/>
      <c r="AW62" s="575"/>
      <c r="AX62" s="489"/>
      <c r="AY62" s="548"/>
      <c r="AZ62" s="489"/>
      <c r="BA62" s="489"/>
      <c r="BB62" s="489"/>
      <c r="BC62" s="489"/>
      <c r="BD62" s="548"/>
      <c r="BE62" s="548"/>
      <c r="BF62" s="548"/>
      <c r="BG62" s="548"/>
      <c r="BH62" s="280"/>
    </row>
    <row r="63" spans="1:60" s="378" customFormat="1" ht="15" x14ac:dyDescent="0.25">
      <c r="A63" s="380" t="s">
        <v>474</v>
      </c>
      <c r="B63" s="485"/>
      <c r="C63" s="405"/>
      <c r="D63" s="405"/>
      <c r="E63" s="405"/>
      <c r="F63" s="381">
        <v>4892</v>
      </c>
      <c r="G63" s="382">
        <v>6331</v>
      </c>
      <c r="H63" s="382">
        <v>7014</v>
      </c>
      <c r="I63" s="382">
        <v>8084</v>
      </c>
      <c r="J63" s="382">
        <f>K63</f>
        <v>9722</v>
      </c>
      <c r="K63" s="381">
        <v>9722</v>
      </c>
      <c r="L63" s="407">
        <v>11755</v>
      </c>
      <c r="M63" s="407">
        <v>12907</v>
      </c>
      <c r="N63" s="407">
        <v>14389</v>
      </c>
      <c r="O63" s="382">
        <f>P63</f>
        <v>16778</v>
      </c>
      <c r="P63" s="408">
        <v>16778</v>
      </c>
      <c r="Q63" s="407">
        <v>19304</v>
      </c>
      <c r="R63" s="407">
        <v>21649</v>
      </c>
      <c r="S63" s="407">
        <v>23951</v>
      </c>
      <c r="T63" s="382">
        <v>27438</v>
      </c>
      <c r="U63" s="408">
        <v>27438</v>
      </c>
      <c r="V63" s="382">
        <v>31993</v>
      </c>
      <c r="W63" s="382">
        <v>33892</v>
      </c>
      <c r="X63" s="382">
        <v>36799</v>
      </c>
      <c r="Y63" s="404">
        <f>Z63</f>
        <v>41185</v>
      </c>
      <c r="Z63" s="405">
        <v>41185</v>
      </c>
      <c r="AA63" s="382">
        <v>44988</v>
      </c>
      <c r="AB63" s="382">
        <v>48713</v>
      </c>
      <c r="AC63" s="382">
        <v>52678</v>
      </c>
      <c r="AD63" s="404">
        <f>AE63</f>
        <v>57834</v>
      </c>
      <c r="AE63" s="405">
        <v>57834</v>
      </c>
      <c r="AF63" s="382">
        <v>63815</v>
      </c>
      <c r="AG63" s="382">
        <v>68395</v>
      </c>
      <c r="AH63" s="382">
        <v>73465</v>
      </c>
      <c r="AI63" s="404">
        <f>AJ63</f>
        <v>80773</v>
      </c>
      <c r="AJ63" s="405">
        <v>80773</v>
      </c>
      <c r="AK63" s="382">
        <v>88634</v>
      </c>
      <c r="AL63" s="382">
        <v>91459</v>
      </c>
      <c r="AM63" s="382">
        <v>97714</v>
      </c>
      <c r="AN63" s="404">
        <f>AO63</f>
        <v>106047</v>
      </c>
      <c r="AO63" s="405">
        <v>106047</v>
      </c>
      <c r="AP63" s="404"/>
      <c r="AQ63" s="404"/>
      <c r="AR63" s="404"/>
      <c r="AS63" s="404"/>
      <c r="AT63" s="405"/>
      <c r="AU63" s="404"/>
      <c r="AV63" s="404"/>
      <c r="AW63" s="582"/>
      <c r="AX63" s="404"/>
      <c r="AY63" s="405"/>
      <c r="AZ63" s="404"/>
      <c r="BA63" s="404"/>
      <c r="BB63" s="404"/>
      <c r="BC63" s="404"/>
      <c r="BD63" s="405"/>
      <c r="BE63" s="405"/>
      <c r="BF63" s="405"/>
      <c r="BG63" s="405"/>
      <c r="BH63" s="89"/>
    </row>
    <row r="64" spans="1:60" s="376" customFormat="1" ht="15" x14ac:dyDescent="0.25">
      <c r="A64" s="379" t="s">
        <v>475</v>
      </c>
      <c r="B64" s="487"/>
      <c r="C64" s="400"/>
      <c r="D64" s="400"/>
      <c r="E64" s="400"/>
      <c r="F64" s="400"/>
      <c r="G64" s="89">
        <f t="shared" ref="G64:AO64" si="13">AVERAGE(G61,G63)</f>
        <v>5611.5</v>
      </c>
      <c r="H64" s="89">
        <f t="shared" si="13"/>
        <v>6672.5</v>
      </c>
      <c r="I64" s="89">
        <f t="shared" si="13"/>
        <v>7549</v>
      </c>
      <c r="J64" s="89">
        <f t="shared" si="13"/>
        <v>8903</v>
      </c>
      <c r="K64" s="377">
        <f t="shared" si="13"/>
        <v>7307</v>
      </c>
      <c r="L64" s="89">
        <f t="shared" si="13"/>
        <v>10738.5</v>
      </c>
      <c r="M64" s="89">
        <f t="shared" si="13"/>
        <v>12331</v>
      </c>
      <c r="N64" s="89">
        <f t="shared" si="13"/>
        <v>13648</v>
      </c>
      <c r="O64" s="89">
        <f t="shared" si="13"/>
        <v>15583.5</v>
      </c>
      <c r="P64" s="377">
        <f t="shared" si="13"/>
        <v>13250</v>
      </c>
      <c r="Q64" s="89">
        <f t="shared" si="13"/>
        <v>18041</v>
      </c>
      <c r="R64" s="89">
        <f t="shared" si="13"/>
        <v>20476.5</v>
      </c>
      <c r="S64" s="89">
        <f t="shared" si="13"/>
        <v>22800</v>
      </c>
      <c r="T64" s="89">
        <f t="shared" si="13"/>
        <v>25694.5</v>
      </c>
      <c r="U64" s="377">
        <f t="shared" si="13"/>
        <v>22108</v>
      </c>
      <c r="V64" s="89">
        <f t="shared" si="13"/>
        <v>29715.5</v>
      </c>
      <c r="W64" s="89">
        <f t="shared" si="13"/>
        <v>32942.5</v>
      </c>
      <c r="X64" s="89">
        <f t="shared" si="13"/>
        <v>35345.5</v>
      </c>
      <c r="Y64" s="399">
        <f t="shared" si="13"/>
        <v>38992</v>
      </c>
      <c r="Z64" s="400">
        <f t="shared" si="13"/>
        <v>34311.5</v>
      </c>
      <c r="AA64" s="89">
        <f t="shared" si="13"/>
        <v>43086.5</v>
      </c>
      <c r="AB64" s="89">
        <f t="shared" si="13"/>
        <v>46850.5</v>
      </c>
      <c r="AC64" s="89">
        <f t="shared" si="13"/>
        <v>50695.5</v>
      </c>
      <c r="AD64" s="399">
        <f t="shared" si="13"/>
        <v>55256</v>
      </c>
      <c r="AE64" s="400">
        <f t="shared" si="13"/>
        <v>49509.5</v>
      </c>
      <c r="AF64" s="89">
        <f t="shared" si="13"/>
        <v>60824.5</v>
      </c>
      <c r="AG64" s="89">
        <f t="shared" si="13"/>
        <v>66105</v>
      </c>
      <c r="AH64" s="89">
        <f t="shared" si="13"/>
        <v>70930</v>
      </c>
      <c r="AI64" s="399">
        <f t="shared" si="13"/>
        <v>77119</v>
      </c>
      <c r="AJ64" s="400">
        <f t="shared" si="13"/>
        <v>69303.5</v>
      </c>
      <c r="AK64" s="89">
        <f t="shared" si="13"/>
        <v>84703.5</v>
      </c>
      <c r="AL64" s="89">
        <f t="shared" si="13"/>
        <v>90046.5</v>
      </c>
      <c r="AM64" s="89">
        <f t="shared" si="13"/>
        <v>94586.5</v>
      </c>
      <c r="AN64" s="399">
        <f t="shared" si="13"/>
        <v>101880.5</v>
      </c>
      <c r="AO64" s="400">
        <f t="shared" si="13"/>
        <v>93410</v>
      </c>
      <c r="AP64" s="399"/>
      <c r="AQ64" s="399"/>
      <c r="AR64" s="399"/>
      <c r="AS64" s="399"/>
      <c r="AT64" s="400"/>
      <c r="AU64" s="399"/>
      <c r="AV64" s="399"/>
      <c r="AW64" s="574"/>
      <c r="AX64" s="399"/>
      <c r="AY64" s="400"/>
      <c r="AZ64" s="399"/>
      <c r="BA64" s="399"/>
      <c r="BB64" s="399"/>
      <c r="BC64" s="399"/>
      <c r="BD64" s="400"/>
      <c r="BE64" s="400"/>
      <c r="BF64" s="400"/>
      <c r="BG64" s="400"/>
      <c r="BH64" s="89"/>
    </row>
    <row r="65" spans="1:60" s="376" customFormat="1" ht="15" x14ac:dyDescent="0.25">
      <c r="A65" s="486"/>
      <c r="B65" s="487"/>
      <c r="C65" s="400"/>
      <c r="D65" s="400"/>
      <c r="E65" s="400"/>
      <c r="F65" s="400"/>
      <c r="G65" s="399"/>
      <c r="H65" s="399"/>
      <c r="I65" s="399"/>
      <c r="J65" s="399"/>
      <c r="K65" s="400"/>
      <c r="L65" s="399"/>
      <c r="M65" s="399"/>
      <c r="N65" s="399"/>
      <c r="O65" s="399"/>
      <c r="P65" s="400"/>
      <c r="Q65" s="399"/>
      <c r="R65" s="399"/>
      <c r="S65" s="399"/>
      <c r="T65" s="399"/>
      <c r="U65" s="400"/>
      <c r="V65" s="399"/>
      <c r="W65" s="399"/>
      <c r="X65" s="399"/>
      <c r="Y65" s="399"/>
      <c r="Z65" s="400"/>
      <c r="AA65" s="399"/>
      <c r="AB65" s="399"/>
      <c r="AC65" s="399"/>
      <c r="AD65" s="399"/>
      <c r="AE65" s="400"/>
      <c r="AF65" s="399"/>
      <c r="AG65" s="399"/>
      <c r="AH65" s="399"/>
      <c r="AI65" s="399"/>
      <c r="AJ65" s="400"/>
      <c r="AK65" s="399"/>
      <c r="AL65" s="399"/>
      <c r="AM65" s="399"/>
      <c r="AN65" s="399"/>
      <c r="AO65" s="400"/>
      <c r="AP65" s="399"/>
      <c r="AQ65" s="399"/>
      <c r="AR65" s="399"/>
      <c r="AS65" s="399"/>
      <c r="AT65" s="400"/>
      <c r="AU65" s="399"/>
      <c r="AV65" s="399"/>
      <c r="AW65" s="574"/>
      <c r="AX65" s="399"/>
      <c r="AY65" s="400"/>
      <c r="AZ65" s="399"/>
      <c r="BA65" s="399"/>
      <c r="BB65" s="399"/>
      <c r="BC65" s="399"/>
      <c r="BD65" s="400"/>
      <c r="BE65" s="400"/>
      <c r="BF65" s="400"/>
      <c r="BG65" s="400"/>
      <c r="BH65" s="89"/>
    </row>
    <row r="66" spans="1:60" customFormat="1" ht="15" x14ac:dyDescent="0.25">
      <c r="A66" s="177" t="s">
        <v>17</v>
      </c>
      <c r="B66" s="490"/>
      <c r="C66" s="94"/>
      <c r="D66" s="94"/>
      <c r="E66" s="94"/>
      <c r="F66" s="17">
        <f>'Supplemental Data'!F28*1000/F63/12</f>
        <v>4.8981670754974109</v>
      </c>
      <c r="G66" s="79">
        <f>'Supplemental Data'!G28*1000/G64/3</f>
        <v>8.436187590959042</v>
      </c>
      <c r="H66" s="79">
        <f>'Supplemental Data'!H28*1000/H64/3</f>
        <v>8.2878481328837257</v>
      </c>
      <c r="I66" s="79">
        <f>'Supplemental Data'!I28*1000/I64/3</f>
        <v>8.0827924228374624</v>
      </c>
      <c r="J66" s="79">
        <f>'Supplemental Data'!J28*1000/J64/3</f>
        <v>8.2900146018196086</v>
      </c>
      <c r="K66" s="17">
        <f>'Supplemental Data'!K28*1000/K64/12</f>
        <v>8.1245153049587149</v>
      </c>
      <c r="L66" s="79">
        <f>'Supplemental Data'!L28*1000/L64/3</f>
        <v>8.2915987645698497</v>
      </c>
      <c r="M66" s="79">
        <f>'Supplemental Data'!M28*1000/M64/3</f>
        <v>8.3113291703835852</v>
      </c>
      <c r="N66" s="79">
        <f>'Supplemental Data'!N28*1000/N64/3</f>
        <v>8.44287319265338</v>
      </c>
      <c r="O66" s="79">
        <f>'Supplemental Data'!O28*1000/O64/3</f>
        <v>8.2950342777082593</v>
      </c>
      <c r="P66" s="17">
        <f>'Supplemental Data'!P28*1000/P64/12</f>
        <v>8.2267987421383655</v>
      </c>
      <c r="Q66" s="79">
        <f>'Supplemental Data'!Q28*1000/Q64/3</f>
        <v>7.6750549673890953</v>
      </c>
      <c r="R66" s="79">
        <f>'Supplemental Data'!R28*1000/R64/3</f>
        <v>7.4030066987359495</v>
      </c>
      <c r="S66" s="79">
        <f>'Supplemental Data'!S28*1000/S64/3</f>
        <v>7.5565789473684211</v>
      </c>
      <c r="T66" s="79">
        <f>'Supplemental Data'!T28*1000/T64/3</f>
        <v>7.34794086931704</v>
      </c>
      <c r="U66" s="17">
        <f>'Supplemental Data'!U28*1000/U64/12</f>
        <v>7.3632282431698934</v>
      </c>
      <c r="V66" s="79">
        <f>'Supplemental Data'!V28*1000/V64/3</f>
        <v>7.3109768751437239</v>
      </c>
      <c r="W66" s="79">
        <f>'Supplemental Data'!W28*1000/W64/3</f>
        <v>7.6719637752649819</v>
      </c>
      <c r="X66" s="79">
        <f>'Supplemental Data'!X28*1000/X64/3</f>
        <v>8.0489265488770378</v>
      </c>
      <c r="Y66" s="79">
        <f>'Supplemental Data'!Y28*1000/Y64/3</f>
        <v>8.101371221447133</v>
      </c>
      <c r="Z66" s="94">
        <f>'Supplemental Data'!Z28*1000/Z64/12</f>
        <v>7.7988793844629356</v>
      </c>
      <c r="AA66" s="79">
        <f>'Supplemental Data'!AA28*1000/AA64/3</f>
        <v>8.0937880774720625</v>
      </c>
      <c r="AB66" s="79">
        <f>'Supplemental Data'!AB28*1000/AB64/3</f>
        <v>8.290398892932485</v>
      </c>
      <c r="AC66" s="79">
        <f>'Supplemental Data'!AC28*1000/AC64/3</f>
        <v>8.7281579890391328</v>
      </c>
      <c r="AD66" s="79">
        <f>'Supplemental Data'!AD28*1000/AD64/3</f>
        <v>9.3524021524057712</v>
      </c>
      <c r="AE66" s="94">
        <f>'Supplemental Data'!AE28*1000/AE64/12</f>
        <v>8.5660176329795288</v>
      </c>
      <c r="AF66" s="79">
        <f>'Supplemental Data'!AF28*1000/AF64/3</f>
        <v>9.7662729108610282</v>
      </c>
      <c r="AG66" s="79">
        <f>'Supplemental Data'!AG28*1000/AG64/3</f>
        <v>9.6873358041499635</v>
      </c>
      <c r="AH66" s="79">
        <f>'Supplemental Data'!AH28*1000/AH64/3</f>
        <v>9.273382207810517</v>
      </c>
      <c r="AI66" s="79">
        <f>'Supplemental Data'!AI28*1000/AI64/3</f>
        <v>9.1010516215199839</v>
      </c>
      <c r="AJ66" s="94">
        <f>'Supplemental Data'!AJ28*1000/AJ64/12</f>
        <v>9.3575180185704898</v>
      </c>
      <c r="AK66" s="79">
        <f>'Supplemental Data'!AK28*1000/AK64/3</f>
        <v>9.313857554095561</v>
      </c>
      <c r="AL66" s="79">
        <f>'Supplemental Data'!AL28*1000/AL64/3</f>
        <v>9.4311531634581396</v>
      </c>
      <c r="AM66" s="79">
        <f>'Supplemental Data'!AM28*1000/AM64/3</f>
        <v>9.7280619679693547</v>
      </c>
      <c r="AN66" s="79">
        <f>'Supplemental Data'!AN28*1000/AN64/3</f>
        <v>9.6234281012231673</v>
      </c>
      <c r="AO66" s="94">
        <f>'Supplemental Data'!AO28*1000/AO64/12</f>
        <v>9.470992577525605</v>
      </c>
      <c r="AP66" s="473"/>
      <c r="AQ66" s="473"/>
      <c r="AR66" s="473"/>
      <c r="AS66" s="473"/>
      <c r="AT66" s="94"/>
      <c r="AU66" s="473"/>
      <c r="AV66" s="473"/>
      <c r="AW66" s="576"/>
      <c r="AX66" s="473"/>
      <c r="AY66" s="94"/>
      <c r="AZ66" s="473"/>
      <c r="BA66" s="473"/>
      <c r="BB66" s="473"/>
      <c r="BC66" s="473"/>
      <c r="BD66" s="94"/>
      <c r="BE66" s="94"/>
      <c r="BF66" s="94"/>
      <c r="BG66" s="94"/>
      <c r="BH66" s="79"/>
    </row>
    <row r="67" spans="1:60" customFormat="1" ht="15" x14ac:dyDescent="0.25">
      <c r="A67" s="210" t="s">
        <v>688</v>
      </c>
      <c r="B67" s="497"/>
      <c r="C67" s="213"/>
      <c r="D67" s="213"/>
      <c r="E67" s="213"/>
      <c r="F67" s="213"/>
      <c r="G67" s="472"/>
      <c r="H67" s="472"/>
      <c r="I67" s="472"/>
      <c r="J67" s="472"/>
      <c r="K67" s="211">
        <f t="shared" ref="K67:AO67" si="14">K66/F66-1</f>
        <v>0.65868480591460155</v>
      </c>
      <c r="L67" s="212">
        <f t="shared" si="14"/>
        <v>-1.7139119398452696E-2</v>
      </c>
      <c r="M67" s="212">
        <f t="shared" si="14"/>
        <v>2.8331886785779581E-3</v>
      </c>
      <c r="N67" s="212">
        <f t="shared" si="14"/>
        <v>4.4549055694976136E-2</v>
      </c>
      <c r="O67" s="212">
        <f t="shared" si="14"/>
        <v>6.0550869084696757E-4</v>
      </c>
      <c r="P67" s="211">
        <f t="shared" si="14"/>
        <v>1.2589481752495857E-2</v>
      </c>
      <c r="Q67" s="212">
        <f t="shared" si="14"/>
        <v>-7.4357649795508296E-2</v>
      </c>
      <c r="R67" s="212">
        <f t="shared" si="14"/>
        <v>-0.10928726958430823</v>
      </c>
      <c r="S67" s="212">
        <f t="shared" si="14"/>
        <v>-0.10497543017182509</v>
      </c>
      <c r="T67" s="212">
        <f t="shared" si="14"/>
        <v>-0.11417594872831327</v>
      </c>
      <c r="U67" s="211">
        <f t="shared" si="14"/>
        <v>-0.10497041753862169</v>
      </c>
      <c r="V67" s="212">
        <f t="shared" si="14"/>
        <v>-4.7436545248512263E-2</v>
      </c>
      <c r="W67" s="212">
        <f t="shared" si="14"/>
        <v>3.633078929605138E-2</v>
      </c>
      <c r="X67" s="212">
        <f t="shared" si="14"/>
        <v>6.5154827989996278E-2</v>
      </c>
      <c r="Y67" s="212">
        <f t="shared" si="14"/>
        <v>0.1025362568275705</v>
      </c>
      <c r="Z67" s="213">
        <f t="shared" si="14"/>
        <v>5.916577985982574E-2</v>
      </c>
      <c r="AA67" s="212">
        <f t="shared" si="14"/>
        <v>0.10707340697380463</v>
      </c>
      <c r="AB67" s="212">
        <f t="shared" si="14"/>
        <v>8.0609754657782196E-2</v>
      </c>
      <c r="AC67" s="212">
        <f t="shared" si="14"/>
        <v>8.4387829363017364E-2</v>
      </c>
      <c r="AD67" s="212">
        <f t="shared" si="14"/>
        <v>0.1544221214856476</v>
      </c>
      <c r="AE67" s="213">
        <f t="shared" si="14"/>
        <v>9.8365189496955052E-2</v>
      </c>
      <c r="AF67" s="212">
        <f t="shared" si="14"/>
        <v>0.20663808063422073</v>
      </c>
      <c r="AG67" s="212">
        <f t="shared" si="14"/>
        <v>0.16850056665046109</v>
      </c>
      <c r="AH67" s="212">
        <f t="shared" si="14"/>
        <v>6.2467271955443548E-2</v>
      </c>
      <c r="AI67" s="212">
        <f t="shared" si="14"/>
        <v>-2.6875505008211231E-2</v>
      </c>
      <c r="AJ67" s="213">
        <f t="shared" si="14"/>
        <v>9.2400041595017468E-2</v>
      </c>
      <c r="AK67" s="212">
        <f t="shared" si="14"/>
        <v>-4.632425910014637E-2</v>
      </c>
      <c r="AL67" s="212">
        <f t="shared" si="14"/>
        <v>-2.6445107909037091E-2</v>
      </c>
      <c r="AM67" s="212">
        <f t="shared" si="14"/>
        <v>4.9030628736070225E-2</v>
      </c>
      <c r="AN67" s="212">
        <f t="shared" si="14"/>
        <v>5.7397375756884195E-2</v>
      </c>
      <c r="AO67" s="213">
        <f t="shared" si="14"/>
        <v>1.2126565904539977E-2</v>
      </c>
      <c r="AP67" s="472"/>
      <c r="AQ67" s="472"/>
      <c r="AR67" s="472"/>
      <c r="AS67" s="472"/>
      <c r="AT67" s="213"/>
      <c r="AU67" s="472"/>
      <c r="AV67" s="472"/>
      <c r="AW67" s="578"/>
      <c r="AX67" s="472"/>
      <c r="AY67" s="213"/>
      <c r="AZ67" s="472"/>
      <c r="BA67" s="472"/>
      <c r="BB67" s="472"/>
      <c r="BC67" s="472"/>
      <c r="BD67" s="213"/>
      <c r="BE67" s="213"/>
      <c r="BF67" s="213"/>
      <c r="BG67" s="213"/>
      <c r="BH67" s="212"/>
    </row>
    <row r="68" spans="1:60" s="57" customFormat="1" ht="15" x14ac:dyDescent="0.25">
      <c r="A68" s="800"/>
      <c r="B68" s="497"/>
      <c r="C68" s="213"/>
      <c r="D68" s="213"/>
      <c r="E68" s="213"/>
      <c r="F68" s="213"/>
      <c r="G68" s="472"/>
      <c r="H68" s="472"/>
      <c r="I68" s="472"/>
      <c r="J68" s="472"/>
      <c r="K68" s="213"/>
      <c r="L68" s="472"/>
      <c r="M68" s="472"/>
      <c r="N68" s="472"/>
      <c r="O68" s="472"/>
      <c r="P68" s="213"/>
      <c r="Q68" s="472"/>
      <c r="R68" s="472"/>
      <c r="S68" s="472"/>
      <c r="T68" s="472"/>
      <c r="U68" s="213"/>
      <c r="V68" s="472"/>
      <c r="W68" s="472"/>
      <c r="X68" s="472"/>
      <c r="Y68" s="472"/>
      <c r="Z68" s="213"/>
      <c r="AA68" s="472"/>
      <c r="AB68" s="472"/>
      <c r="AC68" s="472"/>
      <c r="AD68" s="472"/>
      <c r="AE68" s="213"/>
      <c r="AF68" s="472"/>
      <c r="AG68" s="472"/>
      <c r="AH68" s="472"/>
      <c r="AI68" s="472"/>
      <c r="AJ68" s="213"/>
      <c r="AK68" s="472"/>
      <c r="AL68" s="472"/>
      <c r="AM68" s="472"/>
      <c r="AN68" s="472"/>
      <c r="AO68" s="213"/>
      <c r="AP68" s="472"/>
      <c r="AQ68" s="472"/>
      <c r="AR68" s="472"/>
      <c r="AS68" s="472"/>
      <c r="AT68" s="213"/>
      <c r="AU68" s="472"/>
      <c r="AV68" s="472"/>
      <c r="AW68" s="578"/>
      <c r="AX68" s="472"/>
      <c r="AY68" s="213"/>
      <c r="AZ68" s="472"/>
      <c r="BA68" s="472"/>
      <c r="BB68" s="472"/>
      <c r="BC68" s="472"/>
      <c r="BD68" s="213"/>
      <c r="BE68" s="213"/>
      <c r="BF68" s="213"/>
      <c r="BG68" s="213"/>
      <c r="BH68" s="212"/>
    </row>
    <row r="69" spans="1:60" s="376" customFormat="1" ht="15" x14ac:dyDescent="0.25">
      <c r="A69" s="379" t="s">
        <v>476</v>
      </c>
      <c r="B69" s="487"/>
      <c r="C69" s="400"/>
      <c r="D69" s="400"/>
      <c r="E69" s="400"/>
      <c r="F69" s="400"/>
      <c r="G69" s="89">
        <f>F71</f>
        <v>8049</v>
      </c>
      <c r="H69" s="89">
        <f>G71</f>
        <v>7827</v>
      </c>
      <c r="I69" s="89">
        <f>H71</f>
        <v>7369</v>
      </c>
      <c r="J69" s="89">
        <f>I71</f>
        <v>7148</v>
      </c>
      <c r="K69" s="377">
        <f>F71</f>
        <v>8049</v>
      </c>
      <c r="L69" s="89">
        <f>K71</f>
        <v>6765</v>
      </c>
      <c r="M69" s="89">
        <f>L71</f>
        <v>6509</v>
      </c>
      <c r="N69" s="89">
        <f>M71</f>
        <v>6167</v>
      </c>
      <c r="O69" s="89">
        <f>N71</f>
        <v>5899</v>
      </c>
      <c r="P69" s="377">
        <f>K71</f>
        <v>6765</v>
      </c>
      <c r="Q69" s="89">
        <f>P71</f>
        <v>5668</v>
      </c>
      <c r="R69" s="89">
        <f>Q71</f>
        <v>5470</v>
      </c>
      <c r="S69" s="89">
        <f>R71</f>
        <v>5219</v>
      </c>
      <c r="T69" s="89">
        <f>S71</f>
        <v>4971</v>
      </c>
      <c r="U69" s="377">
        <f>P71</f>
        <v>5668</v>
      </c>
      <c r="V69" s="89">
        <f>U71</f>
        <v>4787</v>
      </c>
      <c r="W69" s="89">
        <f>V71</f>
        <v>4647</v>
      </c>
      <c r="X69" s="89">
        <f>W71</f>
        <v>4435</v>
      </c>
      <c r="Y69" s="399">
        <f>X71</f>
        <v>4194</v>
      </c>
      <c r="Z69" s="400">
        <f>U71</f>
        <v>4787</v>
      </c>
      <c r="AA69" s="89">
        <f>Z71</f>
        <v>4029</v>
      </c>
      <c r="AB69" s="89">
        <f>AA71</f>
        <v>3867</v>
      </c>
      <c r="AC69" s="89">
        <f>AB71</f>
        <v>3692</v>
      </c>
      <c r="AD69" s="399">
        <f>AC71</f>
        <v>3520</v>
      </c>
      <c r="AE69" s="400">
        <f>Z71</f>
        <v>4029</v>
      </c>
      <c r="AF69" s="89">
        <f>AE71</f>
        <v>3330</v>
      </c>
      <c r="AG69" s="89">
        <f>AF71</f>
        <v>3138</v>
      </c>
      <c r="AH69" s="89">
        <f>AG71</f>
        <v>2971</v>
      </c>
      <c r="AI69" s="399">
        <f>AH71</f>
        <v>2828</v>
      </c>
      <c r="AJ69" s="400">
        <f>AE71</f>
        <v>3330</v>
      </c>
      <c r="AK69" s="89">
        <f>AJ71</f>
        <v>2706</v>
      </c>
      <c r="AL69" s="89">
        <f>AK71</f>
        <v>2565</v>
      </c>
      <c r="AM69" s="89">
        <f>AL71</f>
        <v>2411</v>
      </c>
      <c r="AN69" s="399">
        <f>AM71</f>
        <v>2276</v>
      </c>
      <c r="AO69" s="400">
        <f>AJ71</f>
        <v>2706</v>
      </c>
      <c r="AP69" s="399"/>
      <c r="AQ69" s="399"/>
      <c r="AR69" s="399"/>
      <c r="AS69" s="399"/>
      <c r="AT69" s="400"/>
      <c r="AU69" s="399"/>
      <c r="AV69" s="399"/>
      <c r="AW69" s="574"/>
      <c r="AX69" s="399"/>
      <c r="AY69" s="400"/>
      <c r="AZ69" s="399"/>
      <c r="BA69" s="399"/>
      <c r="BB69" s="399"/>
      <c r="BC69" s="399"/>
      <c r="BD69" s="400"/>
      <c r="BE69" s="400"/>
      <c r="BF69" s="400"/>
      <c r="BG69" s="400"/>
      <c r="BH69" s="89"/>
    </row>
    <row r="70" spans="1:60" s="376" customFormat="1" ht="15" x14ac:dyDescent="0.25">
      <c r="A70" s="401" t="s">
        <v>477</v>
      </c>
      <c r="B70" s="501"/>
      <c r="C70" s="549"/>
      <c r="D70" s="549"/>
      <c r="E70" s="549"/>
      <c r="F70" s="549"/>
      <c r="G70" s="403">
        <f t="shared" ref="G70:AO70" si="15">G71-G69</f>
        <v>-222</v>
      </c>
      <c r="H70" s="403">
        <f t="shared" si="15"/>
        <v>-458</v>
      </c>
      <c r="I70" s="403">
        <f t="shared" si="15"/>
        <v>-221</v>
      </c>
      <c r="J70" s="403">
        <f t="shared" si="15"/>
        <v>-383</v>
      </c>
      <c r="K70" s="402">
        <f t="shared" si="15"/>
        <v>-1284</v>
      </c>
      <c r="L70" s="403">
        <f t="shared" si="15"/>
        <v>-256</v>
      </c>
      <c r="M70" s="403">
        <f t="shared" si="15"/>
        <v>-342</v>
      </c>
      <c r="N70" s="403">
        <f t="shared" si="15"/>
        <v>-268</v>
      </c>
      <c r="O70" s="403">
        <f t="shared" si="15"/>
        <v>-231</v>
      </c>
      <c r="P70" s="402">
        <f t="shared" si="15"/>
        <v>-1097</v>
      </c>
      <c r="Q70" s="403">
        <f t="shared" si="15"/>
        <v>-198</v>
      </c>
      <c r="R70" s="403">
        <f t="shared" si="15"/>
        <v>-251</v>
      </c>
      <c r="S70" s="403">
        <f t="shared" si="15"/>
        <v>-248</v>
      </c>
      <c r="T70" s="403">
        <f t="shared" si="15"/>
        <v>-184</v>
      </c>
      <c r="U70" s="402">
        <f t="shared" si="15"/>
        <v>-881</v>
      </c>
      <c r="V70" s="403">
        <f t="shared" si="15"/>
        <v>-140</v>
      </c>
      <c r="W70" s="403">
        <f t="shared" si="15"/>
        <v>-212</v>
      </c>
      <c r="X70" s="403">
        <f t="shared" si="15"/>
        <v>-241</v>
      </c>
      <c r="Y70" s="403">
        <f t="shared" si="15"/>
        <v>-165</v>
      </c>
      <c r="Z70" s="402">
        <f t="shared" si="15"/>
        <v>-758</v>
      </c>
      <c r="AA70" s="403">
        <f t="shared" si="15"/>
        <v>-162</v>
      </c>
      <c r="AB70" s="403">
        <f t="shared" si="15"/>
        <v>-175</v>
      </c>
      <c r="AC70" s="403">
        <f t="shared" si="15"/>
        <v>-172</v>
      </c>
      <c r="AD70" s="403">
        <f t="shared" si="15"/>
        <v>-190</v>
      </c>
      <c r="AE70" s="402">
        <f t="shared" si="15"/>
        <v>-699</v>
      </c>
      <c r="AF70" s="403">
        <f t="shared" si="15"/>
        <v>-192</v>
      </c>
      <c r="AG70" s="403">
        <f t="shared" si="15"/>
        <v>-167</v>
      </c>
      <c r="AH70" s="403">
        <f t="shared" si="15"/>
        <v>-143</v>
      </c>
      <c r="AI70" s="403">
        <f t="shared" si="15"/>
        <v>-122</v>
      </c>
      <c r="AJ70" s="402">
        <f t="shared" si="15"/>
        <v>-624</v>
      </c>
      <c r="AK70" s="403">
        <f t="shared" si="15"/>
        <v>-141</v>
      </c>
      <c r="AL70" s="403">
        <f t="shared" si="15"/>
        <v>-154</v>
      </c>
      <c r="AM70" s="403">
        <f t="shared" si="15"/>
        <v>-135</v>
      </c>
      <c r="AN70" s="403">
        <f t="shared" si="15"/>
        <v>-123</v>
      </c>
      <c r="AO70" s="402">
        <f t="shared" si="15"/>
        <v>-553</v>
      </c>
      <c r="AP70" s="489"/>
      <c r="AQ70" s="489"/>
      <c r="AR70" s="489"/>
      <c r="AS70" s="489"/>
      <c r="AT70" s="548"/>
      <c r="AU70" s="489"/>
      <c r="AV70" s="489"/>
      <c r="AW70" s="575"/>
      <c r="AX70" s="489"/>
      <c r="AY70" s="548"/>
      <c r="AZ70" s="489"/>
      <c r="BA70" s="489"/>
      <c r="BB70" s="489"/>
      <c r="BC70" s="489"/>
      <c r="BD70" s="548"/>
      <c r="BE70" s="548"/>
      <c r="BF70" s="548"/>
      <c r="BG70" s="548"/>
      <c r="BH70" s="89"/>
    </row>
    <row r="71" spans="1:60" s="378" customFormat="1" ht="15" x14ac:dyDescent="0.25">
      <c r="A71" s="380" t="s">
        <v>478</v>
      </c>
      <c r="B71" s="485"/>
      <c r="C71" s="405"/>
      <c r="D71" s="405"/>
      <c r="E71" s="405"/>
      <c r="F71" s="381">
        <v>8049</v>
      </c>
      <c r="G71" s="407">
        <v>7827</v>
      </c>
      <c r="H71" s="407">
        <v>7369</v>
      </c>
      <c r="I71" s="407">
        <v>7148</v>
      </c>
      <c r="J71" s="382">
        <f>K71</f>
        <v>6765</v>
      </c>
      <c r="K71" s="381">
        <v>6765</v>
      </c>
      <c r="L71" s="407">
        <v>6509</v>
      </c>
      <c r="M71" s="407">
        <v>6167</v>
      </c>
      <c r="N71" s="407">
        <v>5899</v>
      </c>
      <c r="O71" s="382">
        <f>P71</f>
        <v>5668</v>
      </c>
      <c r="P71" s="381">
        <v>5668</v>
      </c>
      <c r="Q71" s="407">
        <v>5470</v>
      </c>
      <c r="R71" s="407">
        <v>5219</v>
      </c>
      <c r="S71" s="407">
        <v>4971</v>
      </c>
      <c r="T71" s="382">
        <v>4787</v>
      </c>
      <c r="U71" s="381">
        <v>4787</v>
      </c>
      <c r="V71" s="407">
        <v>4647</v>
      </c>
      <c r="W71" s="407">
        <v>4435</v>
      </c>
      <c r="X71" s="407">
        <v>4194</v>
      </c>
      <c r="Y71" s="404">
        <f>Z71</f>
        <v>4029</v>
      </c>
      <c r="Z71" s="405">
        <v>4029</v>
      </c>
      <c r="AA71" s="407">
        <v>3867</v>
      </c>
      <c r="AB71" s="407">
        <v>3692</v>
      </c>
      <c r="AC71" s="407">
        <v>3520</v>
      </c>
      <c r="AD71" s="404">
        <f>AE71</f>
        <v>3330</v>
      </c>
      <c r="AE71" s="405">
        <v>3330</v>
      </c>
      <c r="AF71" s="407">
        <v>3138</v>
      </c>
      <c r="AG71" s="407">
        <v>2971</v>
      </c>
      <c r="AH71" s="407">
        <v>2828</v>
      </c>
      <c r="AI71" s="404">
        <f>AJ71</f>
        <v>2706</v>
      </c>
      <c r="AJ71" s="405">
        <v>2706</v>
      </c>
      <c r="AK71" s="407">
        <v>2565</v>
      </c>
      <c r="AL71" s="407">
        <v>2411</v>
      </c>
      <c r="AM71" s="407">
        <v>2276</v>
      </c>
      <c r="AN71" s="404">
        <f>AO71</f>
        <v>2153</v>
      </c>
      <c r="AO71" s="405">
        <v>2153</v>
      </c>
      <c r="AP71" s="439"/>
      <c r="AQ71" s="439"/>
      <c r="AR71" s="439"/>
      <c r="AS71" s="404"/>
      <c r="AT71" s="405"/>
      <c r="AU71" s="439"/>
      <c r="AV71" s="439"/>
      <c r="AW71" s="583"/>
      <c r="AX71" s="404"/>
      <c r="AY71" s="405"/>
      <c r="AZ71" s="404"/>
      <c r="BA71" s="404"/>
      <c r="BB71" s="404"/>
      <c r="BC71" s="404"/>
      <c r="BD71" s="405"/>
      <c r="BE71" s="405"/>
      <c r="BF71" s="405"/>
      <c r="BG71" s="405"/>
      <c r="BH71" s="89"/>
    </row>
    <row r="72" spans="1:60" s="376" customFormat="1" ht="15" x14ac:dyDescent="0.25">
      <c r="A72" s="379" t="s">
        <v>479</v>
      </c>
      <c r="B72" s="487"/>
      <c r="C72" s="400"/>
      <c r="D72" s="400"/>
      <c r="E72" s="400"/>
      <c r="F72" s="440"/>
      <c r="G72" s="407">
        <f t="shared" ref="G72:AO72" si="16">AVERAGE(G69,G71)</f>
        <v>7938</v>
      </c>
      <c r="H72" s="407">
        <f t="shared" si="16"/>
        <v>7598</v>
      </c>
      <c r="I72" s="407">
        <f t="shared" si="16"/>
        <v>7258.5</v>
      </c>
      <c r="J72" s="407">
        <f t="shared" si="16"/>
        <v>6956.5</v>
      </c>
      <c r="K72" s="408">
        <f t="shared" si="16"/>
        <v>7407</v>
      </c>
      <c r="L72" s="407">
        <f t="shared" si="16"/>
        <v>6637</v>
      </c>
      <c r="M72" s="407">
        <f t="shared" si="16"/>
        <v>6338</v>
      </c>
      <c r="N72" s="407">
        <f t="shared" si="16"/>
        <v>6033</v>
      </c>
      <c r="O72" s="407">
        <f t="shared" si="16"/>
        <v>5783.5</v>
      </c>
      <c r="P72" s="408">
        <f t="shared" si="16"/>
        <v>6216.5</v>
      </c>
      <c r="Q72" s="407">
        <f t="shared" si="16"/>
        <v>5569</v>
      </c>
      <c r="R72" s="407">
        <f t="shared" si="16"/>
        <v>5344.5</v>
      </c>
      <c r="S72" s="407">
        <f t="shared" si="16"/>
        <v>5095</v>
      </c>
      <c r="T72" s="407">
        <f t="shared" si="16"/>
        <v>4879</v>
      </c>
      <c r="U72" s="408">
        <f t="shared" si="16"/>
        <v>5227.5</v>
      </c>
      <c r="V72" s="89">
        <f t="shared" si="16"/>
        <v>4717</v>
      </c>
      <c r="W72" s="89">
        <f t="shared" si="16"/>
        <v>4541</v>
      </c>
      <c r="X72" s="407">
        <f t="shared" si="16"/>
        <v>4314.5</v>
      </c>
      <c r="Y72" s="89">
        <f t="shared" si="16"/>
        <v>4111.5</v>
      </c>
      <c r="Z72" s="377">
        <f t="shared" si="16"/>
        <v>4408</v>
      </c>
      <c r="AA72" s="89">
        <f t="shared" si="16"/>
        <v>3948</v>
      </c>
      <c r="AB72" s="89">
        <f t="shared" si="16"/>
        <v>3779.5</v>
      </c>
      <c r="AC72" s="407">
        <f t="shared" si="16"/>
        <v>3606</v>
      </c>
      <c r="AD72" s="89">
        <f t="shared" si="16"/>
        <v>3425</v>
      </c>
      <c r="AE72" s="377">
        <f t="shared" si="16"/>
        <v>3679.5</v>
      </c>
      <c r="AF72" s="89">
        <f t="shared" si="16"/>
        <v>3234</v>
      </c>
      <c r="AG72" s="89">
        <f t="shared" si="16"/>
        <v>3054.5</v>
      </c>
      <c r="AH72" s="407">
        <f t="shared" si="16"/>
        <v>2899.5</v>
      </c>
      <c r="AI72" s="89">
        <f t="shared" si="16"/>
        <v>2767</v>
      </c>
      <c r="AJ72" s="377">
        <f t="shared" si="16"/>
        <v>3018</v>
      </c>
      <c r="AK72" s="89">
        <f t="shared" si="16"/>
        <v>2635.5</v>
      </c>
      <c r="AL72" s="89">
        <f t="shared" si="16"/>
        <v>2488</v>
      </c>
      <c r="AM72" s="407">
        <f t="shared" si="16"/>
        <v>2343.5</v>
      </c>
      <c r="AN72" s="89">
        <f t="shared" si="16"/>
        <v>2214.5</v>
      </c>
      <c r="AO72" s="377">
        <f t="shared" si="16"/>
        <v>2429.5</v>
      </c>
      <c r="AP72" s="399"/>
      <c r="AQ72" s="399"/>
      <c r="AR72" s="439"/>
      <c r="AS72" s="399"/>
      <c r="AT72" s="400"/>
      <c r="AU72" s="399"/>
      <c r="AV72" s="399"/>
      <c r="AW72" s="583"/>
      <c r="AX72" s="399"/>
      <c r="AY72" s="400"/>
      <c r="AZ72" s="399"/>
      <c r="BA72" s="399"/>
      <c r="BB72" s="399"/>
      <c r="BC72" s="399"/>
      <c r="BD72" s="400"/>
      <c r="BE72" s="400"/>
      <c r="BF72" s="400"/>
      <c r="BG72" s="400"/>
      <c r="BH72" s="89"/>
    </row>
    <row r="73" spans="1:60" s="376" customFormat="1" ht="15" x14ac:dyDescent="0.25">
      <c r="A73" s="486"/>
      <c r="B73" s="487"/>
      <c r="C73" s="400"/>
      <c r="D73" s="400"/>
      <c r="E73" s="400"/>
      <c r="F73" s="440"/>
      <c r="G73" s="439"/>
      <c r="H73" s="439"/>
      <c r="I73" s="439"/>
      <c r="J73" s="439"/>
      <c r="K73" s="440"/>
      <c r="L73" s="439"/>
      <c r="M73" s="439"/>
      <c r="N73" s="439"/>
      <c r="O73" s="439"/>
      <c r="P73" s="440"/>
      <c r="Q73" s="439"/>
      <c r="R73" s="439"/>
      <c r="S73" s="439"/>
      <c r="T73" s="439"/>
      <c r="U73" s="440"/>
      <c r="V73" s="399"/>
      <c r="W73" s="399"/>
      <c r="X73" s="439"/>
      <c r="Y73" s="399"/>
      <c r="Z73" s="400"/>
      <c r="AA73" s="399"/>
      <c r="AB73" s="399"/>
      <c r="AC73" s="439"/>
      <c r="AD73" s="399"/>
      <c r="AE73" s="400"/>
      <c r="AF73" s="399"/>
      <c r="AG73" s="399"/>
      <c r="AH73" s="439"/>
      <c r="AI73" s="399"/>
      <c r="AJ73" s="400"/>
      <c r="AK73" s="399"/>
      <c r="AL73" s="399"/>
      <c r="AM73" s="439"/>
      <c r="AN73" s="399"/>
      <c r="AO73" s="400"/>
      <c r="AP73" s="399"/>
      <c r="AQ73" s="399"/>
      <c r="AR73" s="439"/>
      <c r="AS73" s="399"/>
      <c r="AT73" s="400"/>
      <c r="AU73" s="399"/>
      <c r="AV73" s="399"/>
      <c r="AW73" s="583"/>
      <c r="AX73" s="399"/>
      <c r="AY73" s="400"/>
      <c r="AZ73" s="399"/>
      <c r="BA73" s="399"/>
      <c r="BB73" s="399"/>
      <c r="BC73" s="399"/>
      <c r="BD73" s="400"/>
      <c r="BE73" s="400"/>
      <c r="BF73" s="400"/>
      <c r="BG73" s="400"/>
      <c r="BH73" s="89"/>
    </row>
    <row r="74" spans="1:60" s="57" customFormat="1" ht="15" x14ac:dyDescent="0.25">
      <c r="A74" s="177" t="s">
        <v>686</v>
      </c>
      <c r="B74" s="490"/>
      <c r="C74" s="94"/>
      <c r="D74" s="94"/>
      <c r="E74" s="94"/>
      <c r="F74" s="94"/>
      <c r="G74" s="79">
        <f>G30*1000/G72/3</f>
        <v>10.216385319559922</v>
      </c>
      <c r="H74" s="79">
        <f t="shared" ref="H74:J74" si="17">H30*1000/H72/3</f>
        <v>10.194831973326314</v>
      </c>
      <c r="I74" s="79">
        <f t="shared" si="17"/>
        <v>10.188744230901701</v>
      </c>
      <c r="J74" s="79">
        <f t="shared" si="17"/>
        <v>10.218644433263856</v>
      </c>
      <c r="K74" s="17">
        <f>AVERAGE(G74,H74,I74,J74)</f>
        <v>10.204651489262949</v>
      </c>
      <c r="L74" s="79">
        <f>L30*1000/L72/3</f>
        <v>10.263372005424138</v>
      </c>
      <c r="M74" s="79">
        <f t="shared" ref="M74:O74" si="18">M30*1000/M72/3</f>
        <v>10.240927737456611</v>
      </c>
      <c r="N74" s="79">
        <f t="shared" si="18"/>
        <v>10.309796121332671</v>
      </c>
      <c r="O74" s="79">
        <f t="shared" si="18"/>
        <v>10.344889196276762</v>
      </c>
      <c r="P74" s="17">
        <f>AVERAGE(L74,M74,N74,O74)</f>
        <v>10.289746265122545</v>
      </c>
      <c r="Q74" s="79">
        <f>Q30*1000/Q72/3</f>
        <v>10.366912072783864</v>
      </c>
      <c r="R74" s="79">
        <f t="shared" ref="R74:T74" si="19">R30*1000/R72/3</f>
        <v>10.229706551906945</v>
      </c>
      <c r="S74" s="79">
        <f t="shared" si="19"/>
        <v>10.305789990186456</v>
      </c>
      <c r="T74" s="79">
        <f t="shared" si="19"/>
        <v>10.315980050556808</v>
      </c>
      <c r="U74" s="17">
        <f>AVERAGE(Q74,R74,S74,T74)</f>
        <v>10.304597166358519</v>
      </c>
      <c r="V74" s="79">
        <f>V30*1000/V72/3</f>
        <v>10.22874708501166</v>
      </c>
      <c r="W74" s="79">
        <f t="shared" ref="W74:Y74" si="20">W30*1000/W72/3</f>
        <v>10.183659986787051</v>
      </c>
      <c r="X74" s="79">
        <f t="shared" si="20"/>
        <v>10.227141036041257</v>
      </c>
      <c r="Y74" s="79">
        <f t="shared" si="20"/>
        <v>10.248733227937899</v>
      </c>
      <c r="Z74" s="17">
        <f>AVERAGE(V74,W74,X74,Y74)</f>
        <v>10.222070333944467</v>
      </c>
      <c r="AA74" s="79">
        <f>AA30*1000/AA72/3</f>
        <v>10.164978047956771</v>
      </c>
      <c r="AB74" s="79">
        <f t="shared" ref="AB74:AD74" si="21">AB30*1000/AB72/3</f>
        <v>10.11923975834546</v>
      </c>
      <c r="AC74" s="79">
        <f t="shared" si="21"/>
        <v>10.188019966722129</v>
      </c>
      <c r="AD74" s="79">
        <f t="shared" si="21"/>
        <v>10.233771289537714</v>
      </c>
      <c r="AE74" s="17">
        <f>AVERAGE(AA74,AB74,AC74,AD74)</f>
        <v>10.176502265640519</v>
      </c>
      <c r="AF74" s="79">
        <f>AF30*1000/AF72/3</f>
        <v>10.178416821273965</v>
      </c>
      <c r="AG74" s="79">
        <f t="shared" ref="AG74:AI74" si="22">AG30*1000/AG72/3</f>
        <v>10.138484203633983</v>
      </c>
      <c r="AH74" s="79">
        <f t="shared" si="22"/>
        <v>10.206012530896132</v>
      </c>
      <c r="AI74" s="79">
        <f t="shared" si="22"/>
        <v>10.258643536923259</v>
      </c>
      <c r="AJ74" s="17">
        <f>AVERAGE(AF74,AG74,AH74,AI74)</f>
        <v>10.195389273181835</v>
      </c>
      <c r="AK74" s="79">
        <f>AK30*1000/AK72/3</f>
        <v>10.205274141529122</v>
      </c>
      <c r="AL74" s="79">
        <f t="shared" ref="AL74:AN74" si="23">AL30*1000/AL72/3</f>
        <v>10.209003215434084</v>
      </c>
      <c r="AM74" s="79">
        <f t="shared" si="23"/>
        <v>10.223597183699594</v>
      </c>
      <c r="AN74" s="79">
        <f t="shared" si="23"/>
        <v>10.303605027470462</v>
      </c>
      <c r="AO74" s="17">
        <f>AVERAGE(AK74,AL74,AM74,AN74)</f>
        <v>10.235369892033315</v>
      </c>
      <c r="AP74" s="473"/>
      <c r="AQ74" s="473"/>
      <c r="AR74" s="473"/>
      <c r="AS74" s="473"/>
      <c r="AT74" s="94"/>
      <c r="AU74" s="473"/>
      <c r="AV74" s="473"/>
      <c r="AW74" s="576"/>
      <c r="AX74" s="473"/>
      <c r="AY74" s="94"/>
      <c r="AZ74" s="473"/>
      <c r="BA74" s="473"/>
      <c r="BB74" s="473"/>
      <c r="BC74" s="473"/>
      <c r="BD74" s="94"/>
      <c r="BE74" s="94"/>
      <c r="BF74" s="94"/>
      <c r="BG74" s="94"/>
      <c r="BH74" s="79"/>
    </row>
    <row r="75" spans="1:60" s="649" customFormat="1" ht="15" x14ac:dyDescent="0.25">
      <c r="A75" s="664" t="s">
        <v>687</v>
      </c>
      <c r="B75" s="643"/>
      <c r="C75" s="165"/>
      <c r="D75" s="165"/>
      <c r="E75" s="165"/>
      <c r="F75" s="165"/>
      <c r="G75" s="474"/>
      <c r="H75" s="474"/>
      <c r="I75" s="474"/>
      <c r="J75" s="474"/>
      <c r="K75" s="165"/>
      <c r="L75" s="474">
        <f t="shared" ref="L75:AO75" si="24">+L74/G74-1</f>
        <v>4.5991497378488067E-3</v>
      </c>
      <c r="M75" s="474">
        <f t="shared" si="24"/>
        <v>4.5214834585700636E-3</v>
      </c>
      <c r="N75" s="474">
        <f t="shared" si="24"/>
        <v>1.1880943096385543E-2</v>
      </c>
      <c r="O75" s="474">
        <f t="shared" si="24"/>
        <v>1.2354355202139455E-2</v>
      </c>
      <c r="P75" s="165">
        <f t="shared" si="24"/>
        <v>8.3388223448033205E-3</v>
      </c>
      <c r="Q75" s="474">
        <f t="shared" si="24"/>
        <v>1.0088308920791933E-2</v>
      </c>
      <c r="R75" s="474">
        <f t="shared" si="24"/>
        <v>-1.0957196298362337E-3</v>
      </c>
      <c r="S75" s="474">
        <f t="shared" si="24"/>
        <v>-3.8857520547130875E-4</v>
      </c>
      <c r="T75" s="474">
        <f t="shared" si="24"/>
        <v>-2.7945341096895504E-3</v>
      </c>
      <c r="U75" s="165">
        <f t="shared" si="24"/>
        <v>1.4432718604842076E-3</v>
      </c>
      <c r="V75" s="474">
        <f t="shared" si="24"/>
        <v>-1.3327496828580809E-2</v>
      </c>
      <c r="W75" s="474">
        <f t="shared" si="24"/>
        <v>-4.5012596291250651E-3</v>
      </c>
      <c r="X75" s="474">
        <f t="shared" si="24"/>
        <v>-7.6315308404394377E-3</v>
      </c>
      <c r="Y75" s="474">
        <f t="shared" si="24"/>
        <v>-6.5187042132055506E-3</v>
      </c>
      <c r="Z75" s="165">
        <f t="shared" si="24"/>
        <v>-8.0087393113704719E-3</v>
      </c>
      <c r="AA75" s="474">
        <f t="shared" si="24"/>
        <v>-6.2342960017391924E-3</v>
      </c>
      <c r="AB75" s="474">
        <f t="shared" si="24"/>
        <v>-6.3258424304399874E-3</v>
      </c>
      <c r="AC75" s="474">
        <f t="shared" si="24"/>
        <v>-3.8252204776743071E-3</v>
      </c>
      <c r="AD75" s="474">
        <f t="shared" si="24"/>
        <v>-1.4598817304951606E-3</v>
      </c>
      <c r="AE75" s="165">
        <f t="shared" si="24"/>
        <v>-4.4578120493488083E-3</v>
      </c>
      <c r="AF75" s="474">
        <f t="shared" si="24"/>
        <v>1.3220661425723534E-3</v>
      </c>
      <c r="AG75" s="474">
        <f t="shared" si="24"/>
        <v>1.9017678944361904E-3</v>
      </c>
      <c r="AH75" s="474">
        <f t="shared" si="24"/>
        <v>1.7660511299324444E-3</v>
      </c>
      <c r="AI75" s="474">
        <f t="shared" si="24"/>
        <v>2.4304087595716783E-3</v>
      </c>
      <c r="AJ75" s="165">
        <f t="shared" si="24"/>
        <v>1.8559429407376538E-3</v>
      </c>
      <c r="AK75" s="474">
        <f t="shared" si="24"/>
        <v>2.6386539996103853E-3</v>
      </c>
      <c r="AL75" s="474">
        <f t="shared" si="24"/>
        <v>6.9555774200273923E-3</v>
      </c>
      <c r="AM75" s="474">
        <f t="shared" si="24"/>
        <v>1.7229699405354459E-3</v>
      </c>
      <c r="AN75" s="474">
        <f t="shared" si="24"/>
        <v>4.3827909981837276E-3</v>
      </c>
      <c r="AO75" s="165">
        <f t="shared" si="24"/>
        <v>3.9214411318895248E-3</v>
      </c>
      <c r="AP75" s="474"/>
      <c r="AQ75" s="474"/>
      <c r="AR75" s="474"/>
      <c r="AS75" s="474"/>
      <c r="AT75" s="165"/>
      <c r="AU75" s="474"/>
      <c r="AV75" s="474"/>
      <c r="AW75" s="598"/>
      <c r="AX75" s="474"/>
      <c r="AY75" s="165"/>
      <c r="AZ75" s="474"/>
      <c r="BA75" s="474"/>
      <c r="BB75" s="474"/>
      <c r="BC75" s="474"/>
      <c r="BD75" s="165"/>
      <c r="BE75" s="165"/>
      <c r="BF75" s="165"/>
      <c r="BG75" s="165"/>
      <c r="BH75" s="648"/>
    </row>
    <row r="76" spans="1:60" s="376" customFormat="1" ht="15" x14ac:dyDescent="0.25">
      <c r="A76" s="500"/>
      <c r="B76" s="484"/>
      <c r="C76" s="803"/>
      <c r="D76" s="803"/>
      <c r="E76" s="803"/>
      <c r="F76" s="555"/>
      <c r="G76" s="502"/>
      <c r="H76" s="502"/>
      <c r="I76" s="502"/>
      <c r="J76" s="502"/>
      <c r="K76" s="555"/>
      <c r="L76" s="502"/>
      <c r="M76" s="502"/>
      <c r="N76" s="502"/>
      <c r="O76" s="502"/>
      <c r="P76" s="555"/>
      <c r="Q76" s="502"/>
      <c r="R76" s="502"/>
      <c r="S76" s="502"/>
      <c r="T76" s="502"/>
      <c r="U76" s="555"/>
      <c r="V76" s="406"/>
      <c r="W76" s="406"/>
      <c r="X76" s="502"/>
      <c r="Y76" s="406"/>
      <c r="Z76" s="803"/>
      <c r="AA76" s="406"/>
      <c r="AB76" s="406"/>
      <c r="AC76" s="502"/>
      <c r="AD76" s="406"/>
      <c r="AE76" s="803"/>
      <c r="AF76" s="406"/>
      <c r="AG76" s="406"/>
      <c r="AH76" s="502"/>
      <c r="AI76" s="406"/>
      <c r="AJ76" s="803"/>
      <c r="AK76" s="406"/>
      <c r="AL76" s="406"/>
      <c r="AM76" s="502"/>
      <c r="AN76" s="406"/>
      <c r="AO76" s="803"/>
      <c r="AP76" s="406"/>
      <c r="AQ76" s="406"/>
      <c r="AR76" s="502"/>
      <c r="AS76" s="406"/>
      <c r="AT76" s="803"/>
      <c r="AU76" s="406"/>
      <c r="AV76" s="406"/>
      <c r="AW76" s="635"/>
      <c r="AX76" s="406"/>
      <c r="AY76" s="803"/>
      <c r="AZ76" s="406"/>
      <c r="BA76" s="406"/>
      <c r="BB76" s="406"/>
      <c r="BC76" s="406"/>
      <c r="BD76" s="803"/>
      <c r="BE76" s="803"/>
      <c r="BF76" s="803"/>
      <c r="BG76" s="803"/>
      <c r="BH76" s="280"/>
    </row>
    <row r="77" spans="1:60" s="376" customFormat="1" ht="15" x14ac:dyDescent="0.25">
      <c r="A77" s="279" t="s">
        <v>480</v>
      </c>
      <c r="B77" s="484"/>
      <c r="C77" s="803"/>
      <c r="D77" s="803"/>
      <c r="E77" s="803"/>
      <c r="F77" s="555"/>
      <c r="G77" s="502"/>
      <c r="H77" s="502"/>
      <c r="I77" s="502"/>
      <c r="J77" s="502"/>
      <c r="K77" s="555"/>
      <c r="L77" s="502"/>
      <c r="M77" s="502"/>
      <c r="N77" s="502"/>
      <c r="O77" s="502"/>
      <c r="P77" s="555"/>
      <c r="Q77" s="502"/>
      <c r="R77" s="502"/>
      <c r="S77" s="502"/>
      <c r="T77" s="502"/>
      <c r="U77" s="555"/>
      <c r="V77" s="406"/>
      <c r="W77" s="406"/>
      <c r="X77" s="502"/>
      <c r="Y77" s="406"/>
      <c r="Z77" s="803"/>
      <c r="AA77" s="406"/>
      <c r="AB77" s="406"/>
      <c r="AC77" s="502"/>
      <c r="AD77" s="406"/>
      <c r="AE77" s="375">
        <v>1940</v>
      </c>
      <c r="AF77" s="280">
        <v>1618</v>
      </c>
      <c r="AG77" s="280">
        <v>1420</v>
      </c>
      <c r="AH77" s="280">
        <v>1507</v>
      </c>
      <c r="AI77" s="280">
        <v>2065</v>
      </c>
      <c r="AJ77" s="375">
        <f>+AI77</f>
        <v>2065</v>
      </c>
      <c r="AK77" s="280">
        <v>1563</v>
      </c>
      <c r="AL77" s="280">
        <v>1575</v>
      </c>
      <c r="AM77" s="280">
        <v>1375</v>
      </c>
      <c r="AN77" s="280">
        <v>1405</v>
      </c>
      <c r="AO77" s="375">
        <f>AN77</f>
        <v>1405</v>
      </c>
      <c r="AP77" s="406"/>
      <c r="AQ77" s="406"/>
      <c r="AR77" s="406"/>
      <c r="AS77" s="406"/>
      <c r="AT77" s="803"/>
      <c r="AU77" s="406"/>
      <c r="AV77" s="406"/>
      <c r="AW77" s="572"/>
      <c r="AX77" s="406"/>
      <c r="AY77" s="803"/>
      <c r="AZ77" s="406"/>
      <c r="BA77" s="406"/>
      <c r="BB77" s="406"/>
      <c r="BC77" s="406"/>
      <c r="BD77" s="803"/>
      <c r="BE77" s="803"/>
      <c r="BF77" s="803"/>
      <c r="BG77" s="803"/>
      <c r="BH77" s="280"/>
    </row>
    <row r="78" spans="1:60" s="376" customFormat="1" ht="15" x14ac:dyDescent="0.25">
      <c r="A78" s="279" t="s">
        <v>481</v>
      </c>
      <c r="B78" s="484"/>
      <c r="C78" s="803"/>
      <c r="D78" s="803"/>
      <c r="E78" s="803"/>
      <c r="F78" s="555"/>
      <c r="G78" s="502"/>
      <c r="H78" s="502"/>
      <c r="I78" s="502"/>
      <c r="J78" s="502"/>
      <c r="K78" s="555"/>
      <c r="L78" s="502"/>
      <c r="M78" s="502"/>
      <c r="N78" s="502"/>
      <c r="O78" s="502"/>
      <c r="P78" s="555"/>
      <c r="Q78" s="502"/>
      <c r="R78" s="502"/>
      <c r="S78" s="502"/>
      <c r="T78" s="502"/>
      <c r="U78" s="555"/>
      <c r="V78" s="406"/>
      <c r="W78" s="406"/>
      <c r="X78" s="502"/>
      <c r="Y78" s="406"/>
      <c r="Z78" s="803"/>
      <c r="AA78" s="406"/>
      <c r="AB78" s="406"/>
      <c r="AC78" s="502"/>
      <c r="AD78" s="406"/>
      <c r="AE78" s="375">
        <v>4998</v>
      </c>
      <c r="AF78" s="280">
        <v>4475</v>
      </c>
      <c r="AG78" s="280">
        <v>4367</v>
      </c>
      <c r="AH78" s="280">
        <v>5170</v>
      </c>
      <c r="AI78" s="280">
        <v>7131</v>
      </c>
      <c r="AJ78" s="375">
        <f>+AI78</f>
        <v>7131</v>
      </c>
      <c r="AK78" s="280">
        <v>5003</v>
      </c>
      <c r="AL78" s="280">
        <v>4481</v>
      </c>
      <c r="AM78" s="280">
        <v>4215</v>
      </c>
      <c r="AN78" s="280">
        <v>3274</v>
      </c>
      <c r="AO78" s="375">
        <f>AN78</f>
        <v>3274</v>
      </c>
      <c r="AP78" s="406"/>
      <c r="AQ78" s="406"/>
      <c r="AR78" s="406"/>
      <c r="AS78" s="406"/>
      <c r="AT78" s="803"/>
      <c r="AU78" s="406"/>
      <c r="AV78" s="406"/>
      <c r="AW78" s="572"/>
      <c r="AX78" s="406"/>
      <c r="AY78" s="803"/>
      <c r="AZ78" s="406"/>
      <c r="BA78" s="406"/>
      <c r="BB78" s="406"/>
      <c r="BC78" s="406"/>
      <c r="BD78" s="803"/>
      <c r="BE78" s="803"/>
      <c r="BF78" s="803"/>
      <c r="BG78" s="803"/>
      <c r="BH78" s="280"/>
    </row>
    <row r="79" spans="1:60" s="376" customFormat="1" ht="15" x14ac:dyDescent="0.25">
      <c r="A79" s="279" t="s">
        <v>482</v>
      </c>
      <c r="B79" s="484"/>
      <c r="C79" s="803"/>
      <c r="D79" s="803"/>
      <c r="E79" s="803"/>
      <c r="F79" s="555"/>
      <c r="G79" s="502"/>
      <c r="H79" s="502"/>
      <c r="I79" s="502"/>
      <c r="J79" s="502"/>
      <c r="K79" s="555"/>
      <c r="L79" s="502"/>
      <c r="M79" s="502"/>
      <c r="N79" s="502"/>
      <c r="O79" s="502"/>
      <c r="P79" s="555"/>
      <c r="Q79" s="502"/>
      <c r="R79" s="502"/>
      <c r="S79" s="502"/>
      <c r="T79" s="502"/>
      <c r="U79" s="555"/>
      <c r="V79" s="406"/>
      <c r="W79" s="406"/>
      <c r="X79" s="502"/>
      <c r="Y79" s="406"/>
      <c r="Z79" s="803"/>
      <c r="AA79" s="406"/>
      <c r="AB79" s="406"/>
      <c r="AC79" s="502"/>
      <c r="AD79" s="406"/>
      <c r="AE79" s="375">
        <v>53</v>
      </c>
      <c r="AF79" s="280">
        <v>29</v>
      </c>
      <c r="AG79" s="280">
        <v>28</v>
      </c>
      <c r="AH79" s="280">
        <v>24</v>
      </c>
      <c r="AI79" s="280">
        <v>25</v>
      </c>
      <c r="AJ79" s="375">
        <f>+AI79</f>
        <v>25</v>
      </c>
      <c r="AK79" s="280">
        <v>22</v>
      </c>
      <c r="AL79" s="280">
        <v>17</v>
      </c>
      <c r="AM79" s="280">
        <v>16</v>
      </c>
      <c r="AN79" s="280">
        <v>15</v>
      </c>
      <c r="AO79" s="375">
        <f>AN79</f>
        <v>15</v>
      </c>
      <c r="AP79" s="406"/>
      <c r="AQ79" s="406"/>
      <c r="AR79" s="406"/>
      <c r="AS79" s="406"/>
      <c r="AT79" s="803"/>
      <c r="AU79" s="406"/>
      <c r="AV79" s="406"/>
      <c r="AW79" s="572"/>
      <c r="AX79" s="406"/>
      <c r="AY79" s="803"/>
      <c r="AZ79" s="406"/>
      <c r="BA79" s="406"/>
      <c r="BB79" s="406"/>
      <c r="BC79" s="406"/>
      <c r="BD79" s="803"/>
      <c r="BE79" s="803"/>
      <c r="BF79" s="803"/>
      <c r="BG79" s="803"/>
      <c r="BH79" s="280"/>
    </row>
    <row r="80" spans="1:60" s="376" customFormat="1" ht="15" x14ac:dyDescent="0.25">
      <c r="A80" s="380" t="s">
        <v>483</v>
      </c>
      <c r="B80" s="485"/>
      <c r="C80" s="405"/>
      <c r="D80" s="405"/>
      <c r="E80" s="405"/>
      <c r="F80" s="556"/>
      <c r="G80" s="503"/>
      <c r="H80" s="503"/>
      <c r="I80" s="503"/>
      <c r="J80" s="503"/>
      <c r="K80" s="556"/>
      <c r="L80" s="503"/>
      <c r="M80" s="503"/>
      <c r="N80" s="503"/>
      <c r="O80" s="503"/>
      <c r="P80" s="556"/>
      <c r="Q80" s="503"/>
      <c r="R80" s="503"/>
      <c r="S80" s="503"/>
      <c r="T80" s="503"/>
      <c r="U80" s="556"/>
      <c r="V80" s="404"/>
      <c r="W80" s="404"/>
      <c r="X80" s="503"/>
      <c r="Y80" s="404"/>
      <c r="Z80" s="405"/>
      <c r="AA80" s="404"/>
      <c r="AB80" s="404"/>
      <c r="AC80" s="503"/>
      <c r="AD80" s="404"/>
      <c r="AE80" s="381">
        <f t="shared" ref="AE80:AO80" si="25">SUM(AE77:AE79)</f>
        <v>6991</v>
      </c>
      <c r="AF80" s="382">
        <f t="shared" si="25"/>
        <v>6122</v>
      </c>
      <c r="AG80" s="382">
        <f t="shared" si="25"/>
        <v>5815</v>
      </c>
      <c r="AH80" s="409">
        <f t="shared" si="25"/>
        <v>6701</v>
      </c>
      <c r="AI80" s="382">
        <f t="shared" si="25"/>
        <v>9221</v>
      </c>
      <c r="AJ80" s="381">
        <f t="shared" si="25"/>
        <v>9221</v>
      </c>
      <c r="AK80" s="382">
        <f t="shared" si="25"/>
        <v>6588</v>
      </c>
      <c r="AL80" s="382">
        <f t="shared" si="25"/>
        <v>6073</v>
      </c>
      <c r="AM80" s="409">
        <f t="shared" si="25"/>
        <v>5606</v>
      </c>
      <c r="AN80" s="382">
        <f t="shared" si="25"/>
        <v>4694</v>
      </c>
      <c r="AO80" s="381">
        <f t="shared" si="25"/>
        <v>4694</v>
      </c>
      <c r="AP80" s="404"/>
      <c r="AQ80" s="404"/>
      <c r="AR80" s="503"/>
      <c r="AS80" s="404"/>
      <c r="AT80" s="405"/>
      <c r="AU80" s="404"/>
      <c r="AV80" s="404"/>
      <c r="AW80" s="636"/>
      <c r="AX80" s="404"/>
      <c r="AY80" s="405"/>
      <c r="AZ80" s="404"/>
      <c r="BA80" s="404"/>
      <c r="BB80" s="404"/>
      <c r="BC80" s="404"/>
      <c r="BD80" s="405"/>
      <c r="BE80" s="405"/>
      <c r="BF80" s="405"/>
      <c r="BG80" s="405"/>
      <c r="BH80" s="89"/>
    </row>
    <row r="81" spans="1:60" s="710" customFormat="1" ht="15" x14ac:dyDescent="0.25">
      <c r="A81" s="718"/>
      <c r="B81" s="719"/>
      <c r="C81" s="729"/>
      <c r="D81" s="729"/>
      <c r="E81" s="729"/>
      <c r="F81" s="729"/>
      <c r="G81" s="391"/>
      <c r="H81" s="391"/>
      <c r="I81" s="391"/>
      <c r="J81" s="391"/>
      <c r="K81" s="729"/>
      <c r="L81" s="391"/>
      <c r="M81" s="391"/>
      <c r="N81" s="391"/>
      <c r="O81" s="391"/>
      <c r="P81" s="729"/>
      <c r="Q81" s="391"/>
      <c r="R81" s="391"/>
      <c r="S81" s="391"/>
      <c r="T81" s="391"/>
      <c r="U81" s="729"/>
      <c r="V81" s="391"/>
      <c r="W81" s="391"/>
      <c r="X81" s="391"/>
      <c r="Y81" s="391"/>
      <c r="Z81" s="729"/>
      <c r="AA81" s="391"/>
      <c r="AB81" s="391"/>
      <c r="AC81" s="391"/>
      <c r="AD81" s="391"/>
      <c r="AE81" s="729"/>
      <c r="AF81" s="391"/>
      <c r="AG81" s="391"/>
      <c r="AH81" s="391"/>
      <c r="AI81" s="391"/>
      <c r="AJ81" s="729"/>
      <c r="AK81" s="391"/>
      <c r="AL81" s="391"/>
      <c r="AM81" s="391"/>
      <c r="AN81" s="391"/>
      <c r="AO81" s="729"/>
      <c r="AP81" s="391"/>
      <c r="AQ81" s="391"/>
      <c r="AR81" s="391"/>
      <c r="AS81" s="391"/>
      <c r="AT81" s="729"/>
      <c r="AU81" s="391"/>
      <c r="AV81" s="391"/>
      <c r="AW81" s="734"/>
      <c r="AX81" s="720"/>
      <c r="AY81" s="721"/>
      <c r="AZ81" s="720"/>
      <c r="BA81" s="720"/>
      <c r="BB81" s="720"/>
      <c r="BC81" s="720"/>
      <c r="BD81" s="721"/>
      <c r="BE81" s="721"/>
      <c r="BF81" s="721"/>
      <c r="BG81" s="721"/>
      <c r="BH81" s="715"/>
    </row>
    <row r="82" spans="1:60" customFormat="1" ht="15" x14ac:dyDescent="0.25">
      <c r="A82" s="290" t="s">
        <v>429</v>
      </c>
      <c r="B82" s="365"/>
      <c r="C82" s="888"/>
      <c r="D82" s="888"/>
      <c r="E82" s="888"/>
      <c r="F82" s="888"/>
      <c r="G82" s="888"/>
      <c r="H82" s="888"/>
      <c r="I82" s="888"/>
      <c r="J82" s="888"/>
      <c r="K82" s="888"/>
      <c r="L82" s="888"/>
      <c r="M82" s="888"/>
      <c r="N82" s="888"/>
      <c r="O82" s="888"/>
      <c r="P82" s="888"/>
      <c r="Q82" s="888"/>
      <c r="R82" s="888"/>
      <c r="S82" s="888"/>
      <c r="T82" s="888"/>
      <c r="U82" s="888"/>
      <c r="V82" s="888"/>
      <c r="W82" s="888"/>
      <c r="X82" s="888"/>
      <c r="Y82" s="888"/>
      <c r="Z82" s="888"/>
      <c r="AA82" s="888"/>
      <c r="AB82" s="888"/>
      <c r="AC82" s="888"/>
      <c r="AD82" s="888"/>
      <c r="AE82" s="888"/>
      <c r="AF82" s="888"/>
      <c r="AG82" s="888"/>
      <c r="AH82" s="888"/>
      <c r="AI82" s="888"/>
      <c r="AJ82" s="888"/>
      <c r="AK82" s="888"/>
      <c r="AL82" s="888"/>
      <c r="AM82" s="888"/>
      <c r="AN82" s="888"/>
      <c r="AO82" s="888"/>
      <c r="AP82" s="888"/>
      <c r="AQ82" s="888"/>
      <c r="AR82" s="888"/>
      <c r="AS82" s="888"/>
      <c r="AT82" s="888"/>
      <c r="AU82" s="888"/>
      <c r="AV82" s="888"/>
      <c r="AW82" s="889"/>
      <c r="AX82" s="888"/>
      <c r="AY82" s="888"/>
      <c r="AZ82" s="888"/>
      <c r="BA82" s="888"/>
      <c r="BB82" s="888"/>
      <c r="BC82" s="888"/>
      <c r="BD82" s="888"/>
      <c r="BE82" s="888"/>
      <c r="BF82" s="888"/>
      <c r="BG82" s="888"/>
      <c r="BH82" s="821"/>
    </row>
    <row r="83" spans="1:60" customFormat="1" ht="15" x14ac:dyDescent="0.25">
      <c r="A83" s="367" t="s">
        <v>545</v>
      </c>
      <c r="B83" s="289"/>
      <c r="C83" s="864"/>
      <c r="D83" s="864"/>
      <c r="E83" s="864"/>
      <c r="F83" s="864"/>
      <c r="G83" s="867"/>
      <c r="H83" s="867"/>
      <c r="I83" s="867"/>
      <c r="J83" s="867"/>
      <c r="K83" s="864"/>
      <c r="L83" s="867"/>
      <c r="M83" s="867"/>
      <c r="N83" s="867"/>
      <c r="O83" s="867"/>
      <c r="P83" s="864"/>
      <c r="Q83" s="867"/>
      <c r="R83" s="867"/>
      <c r="S83" s="867"/>
      <c r="T83" s="867"/>
      <c r="U83" s="865">
        <v>6827.1189999999997</v>
      </c>
      <c r="V83" s="867"/>
      <c r="W83" s="866">
        <v>8349.9660000000003</v>
      </c>
      <c r="X83" s="866">
        <v>9248.1200000000008</v>
      </c>
      <c r="Y83" s="867">
        <f>Z83</f>
        <v>9595.3150000000005</v>
      </c>
      <c r="Z83" s="864">
        <v>9595.3150000000005</v>
      </c>
      <c r="AA83" s="866">
        <v>10330.305</v>
      </c>
      <c r="AB83" s="866">
        <v>11195.034</v>
      </c>
      <c r="AC83" s="866">
        <v>11462.217000000001</v>
      </c>
      <c r="AD83" s="867">
        <f>AE83</f>
        <v>11771.778</v>
      </c>
      <c r="AE83" s="864">
        <v>11771.778</v>
      </c>
      <c r="AF83" s="866">
        <v>12508.343999999999</v>
      </c>
      <c r="AG83" s="866">
        <v>13032.4</v>
      </c>
      <c r="AH83" s="866">
        <v>13458.275</v>
      </c>
      <c r="AI83" s="867">
        <f>AJ83</f>
        <v>14081.463</v>
      </c>
      <c r="AJ83" s="864">
        <v>14081.463</v>
      </c>
      <c r="AK83" s="867"/>
      <c r="AL83" s="867"/>
      <c r="AM83" s="867"/>
      <c r="AN83" s="867"/>
      <c r="AO83" s="864"/>
      <c r="AP83" s="867"/>
      <c r="AQ83" s="867"/>
      <c r="AR83" s="867"/>
      <c r="AS83" s="867"/>
      <c r="AT83" s="864"/>
      <c r="AU83" s="867"/>
      <c r="AV83" s="867"/>
      <c r="AW83" s="868"/>
      <c r="AX83" s="867"/>
      <c r="AY83" s="864"/>
      <c r="AZ83" s="867"/>
      <c r="BA83" s="867"/>
      <c r="BB83" s="867"/>
      <c r="BC83" s="867"/>
      <c r="BD83" s="864"/>
      <c r="BE83" s="864"/>
      <c r="BF83" s="864"/>
      <c r="BG83" s="864"/>
      <c r="BH83" s="821"/>
    </row>
    <row r="84" spans="1:60" customFormat="1" ht="15" x14ac:dyDescent="0.25">
      <c r="A84" s="76" t="s">
        <v>544</v>
      </c>
      <c r="B84" s="289"/>
      <c r="C84" s="864"/>
      <c r="D84" s="864"/>
      <c r="E84" s="864"/>
      <c r="F84" s="864"/>
      <c r="G84" s="867"/>
      <c r="H84" s="867"/>
      <c r="I84" s="867"/>
      <c r="J84" s="867"/>
      <c r="K84" s="864"/>
      <c r="L84" s="867"/>
      <c r="M84" s="867"/>
      <c r="N84" s="867"/>
      <c r="O84" s="867"/>
      <c r="P84" s="864"/>
      <c r="Q84" s="867"/>
      <c r="R84" s="867"/>
      <c r="S84" s="867"/>
      <c r="T84" s="867"/>
      <c r="U84" s="865">
        <v>61.515000000000001</v>
      </c>
      <c r="V84" s="867"/>
      <c r="W84" s="866">
        <v>165.006</v>
      </c>
      <c r="X84" s="866">
        <v>194.62100000000001</v>
      </c>
      <c r="Y84" s="867">
        <f>Z84</f>
        <v>335.4</v>
      </c>
      <c r="Z84" s="864">
        <v>335.4</v>
      </c>
      <c r="AA84" s="866">
        <v>473.05399999999997</v>
      </c>
      <c r="AB84" s="866">
        <v>861.96699999999998</v>
      </c>
      <c r="AC84" s="866">
        <v>984.94500000000005</v>
      </c>
      <c r="AD84" s="867">
        <f>AE84</f>
        <v>1427.2560000000001</v>
      </c>
      <c r="AE84" s="864">
        <v>1427.2560000000001</v>
      </c>
      <c r="AF84" s="866">
        <v>1643.252</v>
      </c>
      <c r="AG84" s="866">
        <v>1786.221</v>
      </c>
      <c r="AH84" s="866">
        <v>1946.9939999999999</v>
      </c>
      <c r="AI84" s="867">
        <f>AJ84</f>
        <v>2403.8960000000002</v>
      </c>
      <c r="AJ84" s="864">
        <v>2403.8960000000002</v>
      </c>
      <c r="AK84" s="867"/>
      <c r="AL84" s="867"/>
      <c r="AM84" s="867"/>
      <c r="AN84" s="867"/>
      <c r="AO84" s="864"/>
      <c r="AP84" s="867"/>
      <c r="AQ84" s="867"/>
      <c r="AR84" s="867"/>
      <c r="AS84" s="867"/>
      <c r="AT84" s="864"/>
      <c r="AU84" s="867"/>
      <c r="AV84" s="867"/>
      <c r="AW84" s="868"/>
      <c r="AX84" s="867"/>
      <c r="AY84" s="864"/>
      <c r="AZ84" s="867"/>
      <c r="BA84" s="867"/>
      <c r="BB84" s="867"/>
      <c r="BC84" s="867"/>
      <c r="BD84" s="864"/>
      <c r="BE84" s="864"/>
      <c r="BF84" s="864"/>
      <c r="BG84" s="864"/>
      <c r="BH84" s="821"/>
    </row>
    <row r="85" spans="1:60" customFormat="1" ht="15" x14ac:dyDescent="0.25">
      <c r="A85" s="76" t="s">
        <v>539</v>
      </c>
      <c r="B85" s="289"/>
      <c r="C85" s="864"/>
      <c r="D85" s="864"/>
      <c r="E85" s="864"/>
      <c r="F85" s="864"/>
      <c r="G85" s="867"/>
      <c r="H85" s="867"/>
      <c r="I85" s="867"/>
      <c r="J85" s="867"/>
      <c r="K85" s="864"/>
      <c r="L85" s="867"/>
      <c r="M85" s="867"/>
      <c r="N85" s="867"/>
      <c r="O85" s="867"/>
      <c r="P85" s="864"/>
      <c r="Q85" s="867"/>
      <c r="R85" s="867"/>
      <c r="S85" s="867"/>
      <c r="T85" s="867"/>
      <c r="U85" s="865">
        <v>279.01299999999998</v>
      </c>
      <c r="V85" s="867"/>
      <c r="W85" s="866">
        <v>529.077</v>
      </c>
      <c r="X85" s="866">
        <v>802.55200000000002</v>
      </c>
      <c r="Y85" s="867">
        <f>Z85</f>
        <v>1010.463</v>
      </c>
      <c r="Z85" s="864">
        <v>1010.463</v>
      </c>
      <c r="AA85" s="866">
        <v>1146.982</v>
      </c>
      <c r="AB85" s="866">
        <v>1057.2829999999999</v>
      </c>
      <c r="AC85" s="866">
        <v>1338.2080000000001</v>
      </c>
      <c r="AD85" s="867">
        <f>AE85</f>
        <v>1311.1369999999999</v>
      </c>
      <c r="AE85" s="864">
        <v>1311.1369999999999</v>
      </c>
      <c r="AF85" s="866">
        <v>1613.8979999999999</v>
      </c>
      <c r="AG85" s="866">
        <v>2085.5010000000002</v>
      </c>
      <c r="AH85" s="866">
        <v>2757.4340000000002</v>
      </c>
      <c r="AI85" s="867">
        <f>AJ85</f>
        <v>3305.1260000000002</v>
      </c>
      <c r="AJ85" s="864">
        <v>3305.1260000000002</v>
      </c>
      <c r="AK85" s="867"/>
      <c r="AL85" s="867"/>
      <c r="AM85" s="867"/>
      <c r="AN85" s="867"/>
      <c r="AO85" s="864"/>
      <c r="AP85" s="867"/>
      <c r="AQ85" s="867"/>
      <c r="AR85" s="867"/>
      <c r="AS85" s="867"/>
      <c r="AT85" s="864"/>
      <c r="AU85" s="867"/>
      <c r="AV85" s="867"/>
      <c r="AW85" s="868"/>
      <c r="AX85" s="867"/>
      <c r="AY85" s="864"/>
      <c r="AZ85" s="867"/>
      <c r="BA85" s="867"/>
      <c r="BB85" s="867"/>
      <c r="BC85" s="867"/>
      <c r="BD85" s="864"/>
      <c r="BE85" s="864"/>
      <c r="BF85" s="864"/>
      <c r="BG85" s="864"/>
      <c r="BH85" s="821"/>
    </row>
    <row r="86" spans="1:60" customFormat="1" ht="15" x14ac:dyDescent="0.25">
      <c r="A86" s="76" t="s">
        <v>540</v>
      </c>
      <c r="B86" s="289"/>
      <c r="C86" s="864"/>
      <c r="D86" s="864"/>
      <c r="E86" s="864"/>
      <c r="F86" s="864"/>
      <c r="G86" s="867"/>
      <c r="H86" s="867"/>
      <c r="I86" s="867"/>
      <c r="J86" s="867"/>
      <c r="K86" s="864"/>
      <c r="L86" s="867"/>
      <c r="M86" s="867"/>
      <c r="N86" s="867"/>
      <c r="O86" s="867"/>
      <c r="P86" s="864"/>
      <c r="Q86" s="867"/>
      <c r="R86" s="867"/>
      <c r="S86" s="867"/>
      <c r="T86" s="867"/>
      <c r="U86" s="865">
        <v>24.651</v>
      </c>
      <c r="V86" s="867"/>
      <c r="W86" s="866">
        <v>21.411000000000001</v>
      </c>
      <c r="X86" s="866">
        <v>40.154000000000003</v>
      </c>
      <c r="Y86" s="867">
        <f>Z86</f>
        <v>34.215000000000003</v>
      </c>
      <c r="Z86" s="864">
        <v>34.215000000000003</v>
      </c>
      <c r="AA86" s="866">
        <v>82.98</v>
      </c>
      <c r="AB86" s="866">
        <v>95.24</v>
      </c>
      <c r="AC86" s="866">
        <v>163.393</v>
      </c>
      <c r="AD86" s="867">
        <f>AE86</f>
        <v>158.517</v>
      </c>
      <c r="AE86" s="864">
        <v>158.517</v>
      </c>
      <c r="AF86" s="866">
        <v>161.49700000000001</v>
      </c>
      <c r="AG86" s="866">
        <v>179.06</v>
      </c>
      <c r="AH86" s="866">
        <v>222.88499999999999</v>
      </c>
      <c r="AI86" s="867">
        <f>AJ86</f>
        <v>311.84199999999998</v>
      </c>
      <c r="AJ86" s="864">
        <v>311.84199999999998</v>
      </c>
      <c r="AK86" s="867"/>
      <c r="AL86" s="867"/>
      <c r="AM86" s="867"/>
      <c r="AN86" s="867"/>
      <c r="AO86" s="864"/>
      <c r="AP86" s="867"/>
      <c r="AQ86" s="867"/>
      <c r="AR86" s="867"/>
      <c r="AS86" s="867"/>
      <c r="AT86" s="864"/>
      <c r="AU86" s="867"/>
      <c r="AV86" s="867"/>
      <c r="AW86" s="868"/>
      <c r="AX86" s="867"/>
      <c r="AY86" s="864"/>
      <c r="AZ86" s="867"/>
      <c r="BA86" s="867"/>
      <c r="BB86" s="867"/>
      <c r="BC86" s="867"/>
      <c r="BD86" s="864"/>
      <c r="BE86" s="864"/>
      <c r="BF86" s="864"/>
      <c r="BG86" s="864"/>
      <c r="BH86" s="821"/>
    </row>
    <row r="87" spans="1:60" customFormat="1" ht="15" x14ac:dyDescent="0.25">
      <c r="A87" s="336" t="s">
        <v>543</v>
      </c>
      <c r="B87" s="504"/>
      <c r="C87" s="897"/>
      <c r="D87" s="897"/>
      <c r="E87" s="897"/>
      <c r="F87" s="897"/>
      <c r="G87" s="898"/>
      <c r="H87" s="898"/>
      <c r="I87" s="898"/>
      <c r="J87" s="898"/>
      <c r="K87" s="897"/>
      <c r="L87" s="898"/>
      <c r="M87" s="898"/>
      <c r="N87" s="898"/>
      <c r="O87" s="898"/>
      <c r="P87" s="897"/>
      <c r="Q87" s="898"/>
      <c r="R87" s="898"/>
      <c r="S87" s="898"/>
      <c r="T87" s="898"/>
      <c r="U87" s="910">
        <f t="shared" ref="U87:AJ87" si="26">SUM(U84:U86)</f>
        <v>365.17899999999997</v>
      </c>
      <c r="V87" s="911">
        <f t="shared" si="26"/>
        <v>0</v>
      </c>
      <c r="W87" s="911">
        <f t="shared" si="26"/>
        <v>715.49399999999991</v>
      </c>
      <c r="X87" s="911">
        <f t="shared" si="26"/>
        <v>1037.327</v>
      </c>
      <c r="Y87" s="898">
        <f t="shared" si="26"/>
        <v>1380.0779999999997</v>
      </c>
      <c r="Z87" s="897">
        <f t="shared" si="26"/>
        <v>1380.0779999999997</v>
      </c>
      <c r="AA87" s="911">
        <f t="shared" si="26"/>
        <v>1703.0160000000001</v>
      </c>
      <c r="AB87" s="911">
        <f t="shared" si="26"/>
        <v>2014.49</v>
      </c>
      <c r="AC87" s="911">
        <f t="shared" si="26"/>
        <v>2486.5460000000003</v>
      </c>
      <c r="AD87" s="898">
        <f t="shared" si="26"/>
        <v>2896.91</v>
      </c>
      <c r="AE87" s="897">
        <f t="shared" si="26"/>
        <v>2896.91</v>
      </c>
      <c r="AF87" s="911">
        <f t="shared" si="26"/>
        <v>3418.6469999999995</v>
      </c>
      <c r="AG87" s="911">
        <f t="shared" si="26"/>
        <v>4050.7820000000002</v>
      </c>
      <c r="AH87" s="911">
        <f t="shared" si="26"/>
        <v>4927.3130000000001</v>
      </c>
      <c r="AI87" s="898">
        <f t="shared" si="26"/>
        <v>6020.8640000000005</v>
      </c>
      <c r="AJ87" s="897">
        <f t="shared" si="26"/>
        <v>6020.8640000000005</v>
      </c>
      <c r="AK87" s="898"/>
      <c r="AL87" s="898"/>
      <c r="AM87" s="898"/>
      <c r="AN87" s="898"/>
      <c r="AO87" s="897"/>
      <c r="AP87" s="898"/>
      <c r="AQ87" s="898"/>
      <c r="AR87" s="898"/>
      <c r="AS87" s="898"/>
      <c r="AT87" s="897"/>
      <c r="AU87" s="898"/>
      <c r="AV87" s="898"/>
      <c r="AW87" s="899"/>
      <c r="AX87" s="898"/>
      <c r="AY87" s="897"/>
      <c r="AZ87" s="898"/>
      <c r="BA87" s="898"/>
      <c r="BB87" s="898"/>
      <c r="BC87" s="898"/>
      <c r="BD87" s="897"/>
      <c r="BE87" s="897"/>
      <c r="BF87" s="897"/>
      <c r="BG87" s="897"/>
      <c r="BH87" s="821"/>
    </row>
    <row r="88" spans="1:60" customFormat="1" ht="15" x14ac:dyDescent="0.25">
      <c r="A88" s="367" t="s">
        <v>542</v>
      </c>
      <c r="B88" s="289"/>
      <c r="C88" s="864"/>
      <c r="D88" s="864"/>
      <c r="E88" s="864"/>
      <c r="F88" s="864"/>
      <c r="G88" s="867"/>
      <c r="H88" s="867"/>
      <c r="I88" s="867"/>
      <c r="J88" s="867"/>
      <c r="K88" s="864"/>
      <c r="L88" s="867"/>
      <c r="M88" s="867"/>
      <c r="N88" s="867"/>
      <c r="O88" s="867"/>
      <c r="P88" s="864"/>
      <c r="Q88" s="867"/>
      <c r="R88" s="867"/>
      <c r="S88" s="867"/>
      <c r="T88" s="867"/>
      <c r="U88" s="865">
        <v>26.516999999999999</v>
      </c>
      <c r="V88" s="867"/>
      <c r="W88" s="866">
        <v>26.74</v>
      </c>
      <c r="X88" s="866">
        <v>24.626000000000001</v>
      </c>
      <c r="Y88" s="867">
        <f>Z88</f>
        <v>25.414999999999999</v>
      </c>
      <c r="Z88" s="864">
        <v>25.414999999999999</v>
      </c>
      <c r="AA88" s="866">
        <v>22.405999999999999</v>
      </c>
      <c r="AB88" s="866">
        <v>18.061</v>
      </c>
      <c r="AC88" s="866">
        <v>14.327999999999999</v>
      </c>
      <c r="AD88" s="867">
        <f>AE88</f>
        <v>13.301</v>
      </c>
      <c r="AE88" s="864">
        <v>13.301</v>
      </c>
      <c r="AF88" s="866">
        <v>14.334</v>
      </c>
      <c r="AG88" s="866">
        <v>12.551</v>
      </c>
      <c r="AH88" s="866">
        <v>10.771000000000001</v>
      </c>
      <c r="AI88" s="867">
        <f>AJ88</f>
        <v>9.8130000000000006</v>
      </c>
      <c r="AJ88" s="864">
        <v>9.8130000000000006</v>
      </c>
      <c r="AK88" s="867"/>
      <c r="AL88" s="867"/>
      <c r="AM88" s="867"/>
      <c r="AN88" s="867"/>
      <c r="AO88" s="864"/>
      <c r="AP88" s="867"/>
      <c r="AQ88" s="867"/>
      <c r="AR88" s="867"/>
      <c r="AS88" s="867"/>
      <c r="AT88" s="864"/>
      <c r="AU88" s="867"/>
      <c r="AV88" s="867"/>
      <c r="AW88" s="868"/>
      <c r="AX88" s="867"/>
      <c r="AY88" s="864"/>
      <c r="AZ88" s="867"/>
      <c r="BA88" s="867"/>
      <c r="BB88" s="867"/>
      <c r="BC88" s="867"/>
      <c r="BD88" s="864"/>
      <c r="BE88" s="864"/>
      <c r="BF88" s="864"/>
      <c r="BG88" s="864"/>
      <c r="BH88" s="821"/>
    </row>
    <row r="89" spans="1:60" customFormat="1" ht="15" x14ac:dyDescent="0.25">
      <c r="A89" s="61" t="s">
        <v>541</v>
      </c>
      <c r="B89" s="505"/>
      <c r="C89" s="869"/>
      <c r="D89" s="869"/>
      <c r="E89" s="869"/>
      <c r="F89" s="869"/>
      <c r="G89" s="870"/>
      <c r="H89" s="870"/>
      <c r="I89" s="870"/>
      <c r="J89" s="870"/>
      <c r="K89" s="869"/>
      <c r="L89" s="870"/>
      <c r="M89" s="870"/>
      <c r="N89" s="870"/>
      <c r="O89" s="870"/>
      <c r="P89" s="869"/>
      <c r="Q89" s="870"/>
      <c r="R89" s="870"/>
      <c r="S89" s="870"/>
      <c r="T89" s="870"/>
      <c r="U89" s="872">
        <f t="shared" ref="U89:AJ89" si="27">U87+U88+U83</f>
        <v>7218.8149999999996</v>
      </c>
      <c r="V89" s="871">
        <f t="shared" si="27"/>
        <v>0</v>
      </c>
      <c r="W89" s="871">
        <f t="shared" si="27"/>
        <v>9092.2000000000007</v>
      </c>
      <c r="X89" s="871">
        <f t="shared" si="27"/>
        <v>10310.073</v>
      </c>
      <c r="Y89" s="870">
        <f t="shared" si="27"/>
        <v>11000.808000000001</v>
      </c>
      <c r="Z89" s="869">
        <f t="shared" si="27"/>
        <v>11000.808000000001</v>
      </c>
      <c r="AA89" s="871">
        <f t="shared" si="27"/>
        <v>12055.727000000001</v>
      </c>
      <c r="AB89" s="871">
        <f t="shared" si="27"/>
        <v>13227.584999999999</v>
      </c>
      <c r="AC89" s="871">
        <f t="shared" si="27"/>
        <v>13963.091</v>
      </c>
      <c r="AD89" s="870">
        <f t="shared" si="27"/>
        <v>14681.989</v>
      </c>
      <c r="AE89" s="869">
        <f t="shared" si="27"/>
        <v>14681.989</v>
      </c>
      <c r="AF89" s="871">
        <f t="shared" si="27"/>
        <v>15941.324999999999</v>
      </c>
      <c r="AG89" s="871">
        <f t="shared" si="27"/>
        <v>17095.733</v>
      </c>
      <c r="AH89" s="871">
        <f t="shared" si="27"/>
        <v>18396.359</v>
      </c>
      <c r="AI89" s="870">
        <f t="shared" si="27"/>
        <v>20112.14</v>
      </c>
      <c r="AJ89" s="869">
        <f t="shared" si="27"/>
        <v>20112.14</v>
      </c>
      <c r="AK89" s="870"/>
      <c r="AL89" s="870"/>
      <c r="AM89" s="870"/>
      <c r="AN89" s="870"/>
      <c r="AO89" s="869"/>
      <c r="AP89" s="870"/>
      <c r="AQ89" s="870"/>
      <c r="AR89" s="870"/>
      <c r="AS89" s="870"/>
      <c r="AT89" s="869"/>
      <c r="AU89" s="870"/>
      <c r="AV89" s="870"/>
      <c r="AW89" s="887"/>
      <c r="AX89" s="870"/>
      <c r="AY89" s="869"/>
      <c r="AZ89" s="870"/>
      <c r="BA89" s="870"/>
      <c r="BB89" s="870"/>
      <c r="BC89" s="870"/>
      <c r="BD89" s="869"/>
      <c r="BE89" s="869"/>
      <c r="BF89" s="869"/>
      <c r="BG89" s="869"/>
      <c r="BH89" s="821"/>
    </row>
    <row r="90" spans="1:60" s="710" customFormat="1" ht="15" x14ac:dyDescent="0.25">
      <c r="A90" s="718"/>
      <c r="B90" s="719"/>
      <c r="C90" s="729"/>
      <c r="D90" s="729"/>
      <c r="E90" s="729"/>
      <c r="F90" s="729"/>
      <c r="G90" s="391"/>
      <c r="H90" s="391"/>
      <c r="I90" s="391"/>
      <c r="J90" s="391"/>
      <c r="K90" s="729"/>
      <c r="L90" s="391"/>
      <c r="M90" s="391"/>
      <c r="N90" s="391"/>
      <c r="O90" s="391"/>
      <c r="P90" s="729"/>
      <c r="Q90" s="391"/>
      <c r="R90" s="391"/>
      <c r="S90" s="391"/>
      <c r="T90" s="391"/>
      <c r="U90" s="729"/>
      <c r="V90" s="391"/>
      <c r="W90" s="391"/>
      <c r="X90" s="391"/>
      <c r="Y90" s="391"/>
      <c r="Z90" s="729"/>
      <c r="AA90" s="391"/>
      <c r="AB90" s="391"/>
      <c r="AC90" s="391"/>
      <c r="AD90" s="391"/>
      <c r="AE90" s="729"/>
      <c r="AF90" s="391"/>
      <c r="AG90" s="391"/>
      <c r="AH90" s="391"/>
      <c r="AI90" s="391"/>
      <c r="AJ90" s="729"/>
      <c r="AK90" s="391"/>
      <c r="AL90" s="391"/>
      <c r="AM90" s="391"/>
      <c r="AN90" s="391"/>
      <c r="AO90" s="729"/>
      <c r="AP90" s="391"/>
      <c r="AQ90" s="391"/>
      <c r="AR90" s="391"/>
      <c r="AS90" s="391"/>
      <c r="AT90" s="729"/>
      <c r="AU90" s="391"/>
      <c r="AV90" s="391"/>
      <c r="AW90" s="734"/>
      <c r="AX90" s="720"/>
      <c r="AY90" s="721"/>
      <c r="AZ90" s="720"/>
      <c r="BA90" s="720"/>
      <c r="BB90" s="720"/>
      <c r="BC90" s="720"/>
      <c r="BD90" s="721"/>
      <c r="BE90" s="721"/>
      <c r="BF90" s="721"/>
      <c r="BG90" s="721"/>
      <c r="BH90" s="715"/>
    </row>
    <row r="91" spans="1:60" ht="15" x14ac:dyDescent="0.25">
      <c r="A91" s="845" t="s">
        <v>564</v>
      </c>
      <c r="B91" s="722"/>
      <c r="C91" s="450"/>
      <c r="D91" s="450"/>
      <c r="E91" s="450"/>
      <c r="F91" s="450"/>
      <c r="G91" s="450"/>
      <c r="H91" s="450"/>
      <c r="I91" s="450"/>
      <c r="J91" s="450"/>
      <c r="K91" s="450"/>
      <c r="L91" s="450"/>
      <c r="M91" s="450"/>
      <c r="N91" s="450"/>
      <c r="O91" s="450"/>
      <c r="P91" s="450"/>
      <c r="Q91" s="450"/>
      <c r="R91" s="450"/>
      <c r="S91" s="450"/>
      <c r="T91" s="450"/>
      <c r="U91" s="450"/>
      <c r="V91" s="450"/>
      <c r="W91" s="450"/>
      <c r="X91" s="450"/>
      <c r="Y91" s="450"/>
      <c r="Z91" s="450"/>
      <c r="AA91" s="450"/>
      <c r="AB91" s="450"/>
      <c r="AC91" s="450"/>
      <c r="AD91" s="450"/>
      <c r="AE91" s="450"/>
      <c r="AF91" s="450"/>
      <c r="AG91" s="450"/>
      <c r="AH91" s="450"/>
      <c r="AI91" s="450"/>
      <c r="AJ91" s="450"/>
      <c r="AK91" s="450"/>
      <c r="AL91" s="450"/>
      <c r="AM91" s="450"/>
      <c r="AN91" s="450"/>
      <c r="AO91" s="450"/>
      <c r="AP91" s="450"/>
      <c r="AQ91" s="450"/>
      <c r="AR91" s="450"/>
      <c r="AS91" s="450"/>
      <c r="AT91" s="450"/>
      <c r="AU91" s="450"/>
      <c r="AV91" s="450"/>
      <c r="AW91" s="450"/>
      <c r="AX91" s="723"/>
      <c r="AY91" s="723"/>
      <c r="AZ91" s="723"/>
      <c r="BA91" s="723"/>
      <c r="BB91" s="723"/>
      <c r="BC91" s="723"/>
      <c r="BD91" s="723"/>
      <c r="BE91" s="723"/>
      <c r="BF91" s="723"/>
      <c r="BG91" s="723"/>
      <c r="BH91" s="716"/>
    </row>
    <row r="92" spans="1:60" ht="15" x14ac:dyDescent="0.25">
      <c r="A92" s="716"/>
      <c r="B92" s="716"/>
      <c r="C92" s="730"/>
      <c r="D92" s="730"/>
      <c r="E92" s="730"/>
      <c r="F92" s="730"/>
      <c r="G92" s="278"/>
      <c r="H92" s="278"/>
      <c r="I92" s="278"/>
      <c r="J92" s="278"/>
      <c r="K92" s="730"/>
      <c r="L92" s="278"/>
      <c r="M92" s="278"/>
      <c r="N92" s="278"/>
      <c r="O92" s="278"/>
      <c r="P92" s="730"/>
      <c r="Q92" s="278"/>
      <c r="R92" s="278"/>
      <c r="S92" s="278"/>
      <c r="T92" s="278"/>
      <c r="U92" s="730"/>
      <c r="V92" s="278"/>
      <c r="W92" s="278"/>
      <c r="X92" s="278"/>
      <c r="Y92" s="278"/>
      <c r="Z92" s="730"/>
      <c r="AA92" s="278"/>
      <c r="AB92" s="278"/>
      <c r="AC92" s="278"/>
      <c r="AD92" s="278"/>
      <c r="AE92" s="730"/>
      <c r="AF92" s="278"/>
      <c r="AG92" s="278"/>
      <c r="AH92" s="278"/>
      <c r="AI92" s="278"/>
      <c r="AJ92" s="730"/>
      <c r="AK92" s="278"/>
      <c r="AL92" s="278"/>
      <c r="AM92" s="278"/>
      <c r="AN92" s="278"/>
      <c r="AO92" s="730"/>
      <c r="AP92" s="278"/>
      <c r="AQ92" s="278"/>
      <c r="AR92" s="278"/>
      <c r="AS92" s="278"/>
      <c r="AT92" s="730"/>
      <c r="AU92" s="278"/>
      <c r="AV92" s="278"/>
      <c r="AW92" s="278"/>
      <c r="AX92" s="278"/>
      <c r="AY92" s="716"/>
      <c r="AZ92" s="278"/>
      <c r="BA92" s="278"/>
      <c r="BB92" s="278"/>
      <c r="BC92" s="278"/>
      <c r="BD92" s="716"/>
      <c r="BE92" s="716"/>
      <c r="BF92" s="716"/>
      <c r="BG92" s="716"/>
      <c r="BH92" s="71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T213"/>
  <sheetViews>
    <sheetView zoomScaleNormal="100" workbookViewId="0">
      <pane ySplit="5" topLeftCell="A6" activePane="bottomLeft" state="frozen"/>
      <selection pane="bottomLeft"/>
    </sheetView>
  </sheetViews>
  <sheetFormatPr defaultColWidth="8.85546875" defaultRowHeight="15" outlineLevelCol="1" x14ac:dyDescent="0.25"/>
  <cols>
    <col min="1" max="1" width="3" style="202" customWidth="1"/>
    <col min="2" max="2" width="9.28515625" style="196" bestFit="1" customWidth="1"/>
    <col min="3" max="3" width="2.7109375" style="196" customWidth="1"/>
    <col min="4" max="4" width="46.5703125" style="203" customWidth="1"/>
    <col min="5" max="5" width="32.5703125" style="204" hidden="1" customWidth="1" outlineLevel="1"/>
    <col min="6" max="6" width="14.42578125" style="196" bestFit="1" customWidth="1" collapsed="1"/>
    <col min="7" max="7" width="2.7109375" style="196" customWidth="1"/>
    <col min="8" max="9" width="11.5703125" style="196" bestFit="1" customWidth="1"/>
    <col min="10" max="10" width="10.5703125" style="196" bestFit="1" customWidth="1"/>
    <col min="11" max="11" width="2.7109375" style="196" customWidth="1"/>
    <col min="12" max="12" width="8.7109375" style="196" bestFit="1" customWidth="1"/>
    <col min="13" max="13" width="11.85546875" style="203" bestFit="1" customWidth="1"/>
    <col min="14" max="14" width="2.7109375" style="196" customWidth="1"/>
    <col min="15" max="15" width="13.42578125" style="196" bestFit="1" customWidth="1"/>
    <col min="16" max="16" width="14.28515625" style="205" bestFit="1" customWidth="1"/>
    <col min="17" max="17" width="2.7109375" style="196" customWidth="1"/>
    <col min="18" max="18" width="10.7109375" style="206" bestFit="1" customWidth="1"/>
    <col min="19" max="19" width="13.28515625" style="207" bestFit="1" customWidth="1"/>
    <col min="20" max="23" width="8.85546875" style="200" customWidth="1"/>
    <col min="24" max="16384" width="8.85546875" style="200"/>
  </cols>
  <sheetData>
    <row r="1" spans="1:20" s="196" customFormat="1" ht="28.5" x14ac:dyDescent="0.45">
      <c r="A1" s="208"/>
      <c r="B1" s="237" t="str">
        <f>MO.CompanyName</f>
        <v>Netflix, Inc.</v>
      </c>
      <c r="C1" s="239"/>
      <c r="D1" s="239"/>
      <c r="E1" s="227"/>
      <c r="F1" s="239"/>
      <c r="G1" s="239"/>
      <c r="H1" s="239"/>
      <c r="I1" s="239"/>
      <c r="J1" s="239"/>
      <c r="K1" s="239"/>
      <c r="L1" s="239"/>
      <c r="M1" s="239"/>
      <c r="N1" s="239"/>
      <c r="O1" s="239"/>
      <c r="P1" s="225"/>
      <c r="Q1" s="239"/>
      <c r="R1" s="238"/>
      <c r="S1" s="239"/>
      <c r="T1" s="239"/>
    </row>
    <row r="2" spans="1:20" s="196" customFormat="1" x14ac:dyDescent="0.25">
      <c r="A2" s="208"/>
      <c r="B2" s="226" t="s">
        <v>407</v>
      </c>
      <c r="C2" s="239"/>
      <c r="D2" s="239"/>
      <c r="E2" s="227"/>
      <c r="F2" s="239" t="str">
        <f>UL.MRQ</f>
        <v>Q3-2021</v>
      </c>
      <c r="G2" s="239"/>
      <c r="H2" s="239"/>
      <c r="I2" s="239"/>
      <c r="J2" s="239"/>
      <c r="K2" s="239"/>
      <c r="L2" s="239"/>
      <c r="M2" s="239"/>
      <c r="N2" s="239"/>
      <c r="O2" s="239"/>
      <c r="P2" s="225"/>
      <c r="Q2" s="239"/>
      <c r="R2" s="238"/>
      <c r="S2" s="239"/>
      <c r="T2" s="239"/>
    </row>
    <row r="3" spans="1:20" s="196" customFormat="1" x14ac:dyDescent="0.25">
      <c r="A3" s="208"/>
      <c r="B3" s="239"/>
      <c r="C3" s="239"/>
      <c r="D3" s="239"/>
      <c r="E3" s="227"/>
      <c r="F3" s="239"/>
      <c r="G3" s="239"/>
      <c r="H3" s="239"/>
      <c r="I3" s="239"/>
      <c r="J3" s="239"/>
      <c r="K3" s="239"/>
      <c r="L3" s="239"/>
      <c r="M3" s="239"/>
      <c r="N3" s="239"/>
      <c r="O3" s="239"/>
      <c r="P3" s="225"/>
      <c r="Q3" s="239"/>
      <c r="R3" s="239"/>
      <c r="S3" s="239"/>
      <c r="T3" s="239"/>
    </row>
    <row r="4" spans="1:20" s="197" customFormat="1" x14ac:dyDescent="0.25">
      <c r="A4" s="208"/>
      <c r="B4" s="241"/>
      <c r="C4" s="245"/>
      <c r="D4" s="241"/>
      <c r="E4" s="241"/>
      <c r="F4" s="241"/>
      <c r="G4" s="245"/>
      <c r="H4" s="242" t="s">
        <v>279</v>
      </c>
      <c r="I4" s="242"/>
      <c r="J4" s="242"/>
      <c r="K4" s="245"/>
      <c r="L4" s="242" t="s">
        <v>280</v>
      </c>
      <c r="M4" s="242"/>
      <c r="N4" s="245"/>
      <c r="O4" s="242" t="s">
        <v>281</v>
      </c>
      <c r="P4" s="242"/>
      <c r="Q4" s="245"/>
      <c r="R4" s="242" t="s">
        <v>282</v>
      </c>
      <c r="S4" s="242"/>
      <c r="T4" s="238"/>
    </row>
    <row r="5" spans="1:20" s="198" customFormat="1" x14ac:dyDescent="0.25">
      <c r="A5" s="208"/>
      <c r="B5" s="241" t="s">
        <v>283</v>
      </c>
      <c r="C5" s="246"/>
      <c r="D5" s="241" t="s">
        <v>284</v>
      </c>
      <c r="E5" s="241" t="s">
        <v>285</v>
      </c>
      <c r="F5" s="241" t="s">
        <v>286</v>
      </c>
      <c r="G5" s="246"/>
      <c r="H5" s="243" t="s">
        <v>256</v>
      </c>
      <c r="I5" s="243" t="s">
        <v>255</v>
      </c>
      <c r="J5" s="243" t="s">
        <v>287</v>
      </c>
      <c r="K5" s="246"/>
      <c r="L5" s="241" t="s">
        <v>283</v>
      </c>
      <c r="M5" s="243" t="s">
        <v>288</v>
      </c>
      <c r="N5" s="246"/>
      <c r="O5" s="243" t="s">
        <v>289</v>
      </c>
      <c r="P5" s="244" t="s">
        <v>290</v>
      </c>
      <c r="Q5" s="246"/>
      <c r="R5" s="243" t="s">
        <v>291</v>
      </c>
      <c r="S5" s="243" t="s">
        <v>292</v>
      </c>
      <c r="T5" s="240"/>
    </row>
    <row r="6" spans="1:20" s="198" customFormat="1" x14ac:dyDescent="0.25">
      <c r="A6" s="208">
        <v>206</v>
      </c>
      <c r="B6" s="292" t="str">
        <f>IF(INDEX(MO_SNA_IsHistoricalPeriod,,MATCH(F6,MO_Common_ColumnHeader,0)),"Historical","Forward")</f>
        <v>Forward</v>
      </c>
      <c r="C6" s="239"/>
      <c r="D6" s="215" t="s">
        <v>306</v>
      </c>
      <c r="E6" s="216" t="s">
        <v>725</v>
      </c>
      <c r="F6" s="292" t="s">
        <v>566</v>
      </c>
      <c r="G6" s="239"/>
      <c r="H6" s="222">
        <v>0.2</v>
      </c>
      <c r="I6" s="222">
        <v>0.2</v>
      </c>
      <c r="J6" s="222">
        <f>AVERAGE(H6:I6)</f>
        <v>0.2</v>
      </c>
      <c r="K6" s="239"/>
      <c r="L6" s="292" t="str">
        <f>IF(INDEX(MO_SNA_IsHistoricalPeriod,,MATCH(F6,MO_Common_ColumnHeader,0)),"Actual","Estimate")</f>
        <v>Estimate</v>
      </c>
      <c r="M6" s="222">
        <f ca="1">IFERROR(INDEX(INDIRECT(E6),0,MATCH(F6,MO_Common_ColumnHeader,0)),"N/A")</f>
        <v>0.20499063528394235</v>
      </c>
      <c r="N6" s="225"/>
      <c r="O6" s="219">
        <f ca="1">IF(ISNUMBER(M6),M6-J6,"N/A")</f>
        <v>4.9906352839423351E-3</v>
      </c>
      <c r="P6" s="219">
        <f ca="1">IFERROR(IF(ISNUMBER(M6),(M6-J6)/ABS(J6),"N/A"),"N/A")</f>
        <v>2.4953176419711676E-2</v>
      </c>
      <c r="Q6" s="239"/>
      <c r="R6" s="220">
        <v>44488</v>
      </c>
      <c r="S6" s="324" t="s">
        <v>295</v>
      </c>
      <c r="T6" s="240"/>
    </row>
    <row r="7" spans="1:20" s="198" customFormat="1" x14ac:dyDescent="0.25">
      <c r="A7" s="208">
        <v>205</v>
      </c>
      <c r="B7" s="239"/>
      <c r="C7" s="239"/>
      <c r="D7" s="226"/>
      <c r="E7" s="239"/>
      <c r="F7" s="239"/>
      <c r="G7" s="239"/>
      <c r="H7" s="239"/>
      <c r="I7" s="239"/>
      <c r="J7" s="239"/>
      <c r="K7" s="239"/>
      <c r="L7" s="239"/>
      <c r="M7" s="239"/>
      <c r="N7" s="239"/>
      <c r="O7" s="226"/>
      <c r="P7" s="226"/>
      <c r="Q7" s="239"/>
      <c r="R7" s="239"/>
      <c r="S7" s="364"/>
      <c r="T7" s="239"/>
    </row>
    <row r="8" spans="1:20" s="198" customFormat="1" x14ac:dyDescent="0.25">
      <c r="A8" s="208">
        <v>204</v>
      </c>
      <c r="B8" s="292" t="str">
        <f t="shared" ref="B8:B15" si="0">IF(INDEX(MO_SNA_IsHistoricalPeriod,,MATCH(F8,MO_Common_ColumnHeader,0)),"Historical","Forward")</f>
        <v>Forward</v>
      </c>
      <c r="C8" s="239"/>
      <c r="D8" s="215" t="str">
        <f ca="1">INDEX(INDIRECT(E8),0,COLUMN(MO_Common_Column_A))</f>
        <v>Net Revenue</v>
      </c>
      <c r="E8" s="216" t="s">
        <v>293</v>
      </c>
      <c r="F8" s="292" t="s">
        <v>589</v>
      </c>
      <c r="G8" s="239"/>
      <c r="H8" s="217">
        <v>7712</v>
      </c>
      <c r="I8" s="217">
        <v>7712</v>
      </c>
      <c r="J8" s="217">
        <f t="shared" ref="J8:J15" si="1">AVERAGE(H8:I8)</f>
        <v>7712</v>
      </c>
      <c r="K8" s="239"/>
      <c r="L8" s="292" t="str">
        <f t="shared" ref="L8:L15" si="2">IF(INDEX(MO_SNA_IsHistoricalPeriod,,MATCH(F8,MO_Common_ColumnHeader,0)),"Actual","Estimate")</f>
        <v>Estimate</v>
      </c>
      <c r="M8" s="217">
        <f t="shared" ref="M8:M15" ca="1" si="3">IFERROR(INDEX(INDIRECT(E8),0,MATCH(F8,MO_Common_ColumnHeader,0)),"N/A")</f>
        <v>7723.3186424640007</v>
      </c>
      <c r="N8" s="239"/>
      <c r="O8" s="218">
        <f t="shared" ref="O8:O15" ca="1" si="4">IF(ISNUMBER(M8),M8-J8,"N/A")</f>
        <v>11.318642464000732</v>
      </c>
      <c r="P8" s="219">
        <f t="shared" ref="P8:P15" ca="1" si="5">IFERROR(IF(ISNUMBER(M8),(M8-J8)/ABS(J8),"N/A"),"N/A")</f>
        <v>1.467666294605904E-3</v>
      </c>
      <c r="Q8" s="239"/>
      <c r="R8" s="220">
        <v>44488</v>
      </c>
      <c r="S8" s="324" t="s">
        <v>295</v>
      </c>
      <c r="T8" s="240"/>
    </row>
    <row r="9" spans="1:20" s="198" customFormat="1" x14ac:dyDescent="0.25">
      <c r="A9" s="208">
        <v>203</v>
      </c>
      <c r="B9" s="292" t="str">
        <f t="shared" si="0"/>
        <v>Forward</v>
      </c>
      <c r="C9" s="239"/>
      <c r="D9" s="215" t="str">
        <f ca="1">INDEX(INDIRECT(E9),0,COLUMN(MO_Common_Column_A))</f>
        <v>Y/Y Total revenue growth, %</v>
      </c>
      <c r="E9" s="216" t="s">
        <v>296</v>
      </c>
      <c r="F9" s="292" t="s">
        <v>589</v>
      </c>
      <c r="G9" s="239"/>
      <c r="H9" s="222">
        <v>0.161</v>
      </c>
      <c r="I9" s="222">
        <v>0.161</v>
      </c>
      <c r="J9" s="222">
        <f t="shared" si="1"/>
        <v>0.161</v>
      </c>
      <c r="K9" s="239"/>
      <c r="L9" s="292" t="str">
        <f t="shared" si="2"/>
        <v>Estimate</v>
      </c>
      <c r="M9" s="222">
        <f t="shared" ca="1" si="3"/>
        <v>0.16237279856818665</v>
      </c>
      <c r="N9" s="239"/>
      <c r="O9" s="219">
        <f t="shared" ca="1" si="4"/>
        <v>1.372798568186645E-3</v>
      </c>
      <c r="P9" s="219">
        <f t="shared" ca="1" si="5"/>
        <v>8.5266991812835095E-3</v>
      </c>
      <c r="Q9" s="239"/>
      <c r="R9" s="220">
        <v>44488</v>
      </c>
      <c r="S9" s="324" t="s">
        <v>295</v>
      </c>
      <c r="T9" s="240"/>
    </row>
    <row r="10" spans="1:20" s="198" customFormat="1" x14ac:dyDescent="0.25">
      <c r="A10" s="208">
        <v>202</v>
      </c>
      <c r="B10" s="292" t="str">
        <f t="shared" si="0"/>
        <v>Forward</v>
      </c>
      <c r="C10" s="239"/>
      <c r="D10" s="215" t="str">
        <f ca="1">INDEX(INDIRECT(E10),0,COLUMN(MO_Common_Column_A))</f>
        <v>EBIT</v>
      </c>
      <c r="E10" s="216" t="s">
        <v>297</v>
      </c>
      <c r="F10" s="292" t="s">
        <v>589</v>
      </c>
      <c r="G10" s="239"/>
      <c r="H10" s="217">
        <v>500</v>
      </c>
      <c r="I10" s="217">
        <v>500</v>
      </c>
      <c r="J10" s="217">
        <f t="shared" si="1"/>
        <v>500</v>
      </c>
      <c r="K10" s="239"/>
      <c r="L10" s="292" t="str">
        <f t="shared" si="2"/>
        <v>Estimate</v>
      </c>
      <c r="M10" s="217">
        <f t="shared" ca="1" si="3"/>
        <v>527.9109087164934</v>
      </c>
      <c r="N10" s="239"/>
      <c r="O10" s="218">
        <f t="shared" ca="1" si="4"/>
        <v>27.910908716493395</v>
      </c>
      <c r="P10" s="219">
        <f t="shared" ca="1" si="5"/>
        <v>5.5821817432986788E-2</v>
      </c>
      <c r="Q10" s="239"/>
      <c r="R10" s="220">
        <v>44488</v>
      </c>
      <c r="S10" s="324" t="s">
        <v>295</v>
      </c>
      <c r="T10" s="240"/>
    </row>
    <row r="11" spans="1:20" s="198" customFormat="1" x14ac:dyDescent="0.25">
      <c r="A11" s="208">
        <v>201</v>
      </c>
      <c r="B11" s="292" t="str">
        <f t="shared" si="0"/>
        <v>Forward</v>
      </c>
      <c r="C11" s="239"/>
      <c r="D11" s="215" t="s">
        <v>306</v>
      </c>
      <c r="E11" s="216" t="s">
        <v>725</v>
      </c>
      <c r="F11" s="292" t="s">
        <v>589</v>
      </c>
      <c r="G11" s="239"/>
      <c r="H11" s="222">
        <v>6.5000000000000002E-2</v>
      </c>
      <c r="I11" s="222">
        <v>6.5000000000000002E-2</v>
      </c>
      <c r="J11" s="222">
        <f t="shared" si="1"/>
        <v>6.5000000000000002E-2</v>
      </c>
      <c r="K11" s="239"/>
      <c r="L11" s="292" t="str">
        <f t="shared" si="2"/>
        <v>Estimate</v>
      </c>
      <c r="M11" s="222">
        <f t="shared" ca="1" si="3"/>
        <v>6.8352858810454553E-2</v>
      </c>
      <c r="N11" s="225"/>
      <c r="O11" s="219">
        <f t="shared" ca="1" si="4"/>
        <v>3.3528588104545509E-3</v>
      </c>
      <c r="P11" s="219">
        <f t="shared" ca="1" si="5"/>
        <v>5.1582443237762322E-2</v>
      </c>
      <c r="Q11" s="239"/>
      <c r="R11" s="220">
        <v>44488</v>
      </c>
      <c r="S11" s="324" t="s">
        <v>295</v>
      </c>
      <c r="T11" s="240"/>
    </row>
    <row r="12" spans="1:20" s="198" customFormat="1" x14ac:dyDescent="0.25">
      <c r="A12" s="208">
        <v>200</v>
      </c>
      <c r="B12" s="292" t="str">
        <f t="shared" si="0"/>
        <v>Forward</v>
      </c>
      <c r="C12" s="239"/>
      <c r="D12" s="215" t="str">
        <f ca="1">INDEX(INDIRECT(E12),0,COLUMN(MO_Common_Column_A))</f>
        <v>Net Income to Common Shareholders</v>
      </c>
      <c r="E12" s="216" t="s">
        <v>298</v>
      </c>
      <c r="F12" s="292" t="s">
        <v>589</v>
      </c>
      <c r="G12" s="239"/>
      <c r="H12" s="217">
        <v>365</v>
      </c>
      <c r="I12" s="217">
        <v>365</v>
      </c>
      <c r="J12" s="217">
        <f t="shared" si="1"/>
        <v>365</v>
      </c>
      <c r="K12" s="239"/>
      <c r="L12" s="292" t="str">
        <f t="shared" si="2"/>
        <v>Estimate</v>
      </c>
      <c r="M12" s="217">
        <f t="shared" ca="1" si="3"/>
        <v>350.35107930358816</v>
      </c>
      <c r="N12" s="239"/>
      <c r="O12" s="218">
        <f t="shared" ca="1" si="4"/>
        <v>-14.648920696411835</v>
      </c>
      <c r="P12" s="219">
        <f t="shared" ca="1" si="5"/>
        <v>-4.0134029305237906E-2</v>
      </c>
      <c r="Q12" s="239"/>
      <c r="R12" s="220">
        <v>44488</v>
      </c>
      <c r="S12" s="324" t="s">
        <v>295</v>
      </c>
      <c r="T12" s="240"/>
    </row>
    <row r="13" spans="1:20" s="198" customFormat="1" x14ac:dyDescent="0.25">
      <c r="A13" s="208">
        <v>199</v>
      </c>
      <c r="B13" s="292" t="str">
        <f t="shared" si="0"/>
        <v>Forward</v>
      </c>
      <c r="C13" s="239"/>
      <c r="D13" s="215" t="str">
        <f ca="1">INDEX(INDIRECT(E13),0,COLUMN(MO_Common_Column_A))</f>
        <v>Earnings Per Share - WAD</v>
      </c>
      <c r="E13" s="216" t="s">
        <v>299</v>
      </c>
      <c r="F13" s="292" t="s">
        <v>589</v>
      </c>
      <c r="G13" s="239"/>
      <c r="H13" s="223">
        <v>0.8</v>
      </c>
      <c r="I13" s="223">
        <v>0.8</v>
      </c>
      <c r="J13" s="223">
        <f t="shared" si="1"/>
        <v>0.8</v>
      </c>
      <c r="K13" s="239"/>
      <c r="L13" s="292" t="str">
        <f t="shared" si="2"/>
        <v>Estimate</v>
      </c>
      <c r="M13" s="223">
        <f t="shared" ca="1" si="3"/>
        <v>0.77012931648862593</v>
      </c>
      <c r="N13" s="239"/>
      <c r="O13" s="224">
        <f t="shared" ca="1" si="4"/>
        <v>-2.9870683511374119E-2</v>
      </c>
      <c r="P13" s="219">
        <f t="shared" ca="1" si="5"/>
        <v>-3.7338354389217648E-2</v>
      </c>
      <c r="Q13" s="239"/>
      <c r="R13" s="220">
        <v>44488</v>
      </c>
      <c r="S13" s="324" t="s">
        <v>295</v>
      </c>
      <c r="T13" s="240"/>
    </row>
    <row r="14" spans="1:20" s="198" customFormat="1" x14ac:dyDescent="0.25">
      <c r="A14" s="208">
        <v>198</v>
      </c>
      <c r="B14" s="292" t="str">
        <f t="shared" si="0"/>
        <v>Forward</v>
      </c>
      <c r="C14" s="239"/>
      <c r="D14" s="215" t="str">
        <f ca="1">INDEX(INDIRECT(E14),0,COLUMN(MO_Common_Column_A))</f>
        <v>Total Global EOP Paid Streaming Memberships, 000s</v>
      </c>
      <c r="E14" s="216" t="s">
        <v>465</v>
      </c>
      <c r="F14" s="292" t="s">
        <v>589</v>
      </c>
      <c r="G14" s="239"/>
      <c r="H14" s="397">
        <v>222060</v>
      </c>
      <c r="I14" s="397">
        <v>222060</v>
      </c>
      <c r="J14" s="397">
        <f t="shared" si="1"/>
        <v>222060</v>
      </c>
      <c r="K14" s="387"/>
      <c r="L14" s="292" t="str">
        <f t="shared" si="2"/>
        <v>Estimate</v>
      </c>
      <c r="M14" s="397">
        <f t="shared" ca="1" si="3"/>
        <v>221598.49</v>
      </c>
      <c r="N14" s="387"/>
      <c r="O14" s="398">
        <f t="shared" ca="1" si="4"/>
        <v>-461.51000000000931</v>
      </c>
      <c r="P14" s="219">
        <f t="shared" ca="1" si="5"/>
        <v>-2.0783121678825964E-3</v>
      </c>
      <c r="Q14" s="239"/>
      <c r="R14" s="220">
        <v>44488</v>
      </c>
      <c r="S14" s="324" t="s">
        <v>295</v>
      </c>
      <c r="T14" s="240"/>
    </row>
    <row r="15" spans="1:20" s="198" customFormat="1" x14ac:dyDescent="0.25">
      <c r="A15" s="208">
        <v>197</v>
      </c>
      <c r="B15" s="292" t="str">
        <f t="shared" si="0"/>
        <v>Forward</v>
      </c>
      <c r="C15" s="239"/>
      <c r="D15" s="215" t="str">
        <f ca="1">INDEX(INDIRECT(E15),0,COLUMN(MO_Common_Column_A))</f>
        <v>Total Paid Streaming Memberships Net Additions, 000s</v>
      </c>
      <c r="E15" s="216" t="s">
        <v>466</v>
      </c>
      <c r="F15" s="292" t="s">
        <v>589</v>
      </c>
      <c r="G15" s="239"/>
      <c r="H15" s="217">
        <v>8500</v>
      </c>
      <c r="I15" s="217">
        <v>8500</v>
      </c>
      <c r="J15" s="217">
        <f t="shared" si="1"/>
        <v>8500</v>
      </c>
      <c r="K15" s="239"/>
      <c r="L15" s="292" t="str">
        <f t="shared" si="2"/>
        <v>Estimate</v>
      </c>
      <c r="M15" s="217">
        <f t="shared" ca="1" si="3"/>
        <v>8035.49</v>
      </c>
      <c r="N15" s="239"/>
      <c r="O15" s="218">
        <f t="shared" ca="1" si="4"/>
        <v>-464.51000000000022</v>
      </c>
      <c r="P15" s="219">
        <f t="shared" ca="1" si="5"/>
        <v>-5.4648235294117671E-2</v>
      </c>
      <c r="Q15" s="239"/>
      <c r="R15" s="220">
        <v>44488</v>
      </c>
      <c r="S15" s="324" t="s">
        <v>295</v>
      </c>
      <c r="T15" s="240"/>
    </row>
    <row r="16" spans="1:20" s="198" customFormat="1" x14ac:dyDescent="0.25">
      <c r="A16" s="208">
        <v>196</v>
      </c>
      <c r="B16" s="239"/>
      <c r="C16" s="239"/>
      <c r="D16" s="226"/>
      <c r="E16" s="239"/>
      <c r="F16" s="239"/>
      <c r="G16" s="239"/>
      <c r="H16" s="239"/>
      <c r="I16" s="239"/>
      <c r="J16" s="239"/>
      <c r="K16" s="239"/>
      <c r="L16" s="239"/>
      <c r="M16" s="239"/>
      <c r="N16" s="239"/>
      <c r="O16" s="226"/>
      <c r="P16" s="226"/>
      <c r="Q16" s="239"/>
      <c r="R16" s="239"/>
      <c r="S16" s="364"/>
      <c r="T16" s="239"/>
    </row>
    <row r="17" spans="1:20" s="198" customFormat="1" x14ac:dyDescent="0.25">
      <c r="A17" s="208">
        <v>195</v>
      </c>
      <c r="B17" s="292" t="str">
        <f t="shared" ref="B17:B24" si="6">IF(INDEX(MO_SNA_IsHistoricalPeriod,,MATCH(F17,MO_Common_ColumnHeader,0)),"Historical","Forward")</f>
        <v>Historical</v>
      </c>
      <c r="C17" s="239"/>
      <c r="D17" s="215" t="str">
        <f ca="1">INDEX(INDIRECT(E17),0,COLUMN(MO_Common_Column_A))</f>
        <v>Net Revenue</v>
      </c>
      <c r="E17" s="216" t="s">
        <v>293</v>
      </c>
      <c r="F17" s="292" t="s">
        <v>577</v>
      </c>
      <c r="G17" s="239"/>
      <c r="H17" s="217">
        <v>7477</v>
      </c>
      <c r="I17" s="217">
        <v>7477</v>
      </c>
      <c r="J17" s="217">
        <f t="shared" ref="J17:J24" si="7">AVERAGE(H17:I17)</f>
        <v>7477</v>
      </c>
      <c r="K17" s="239"/>
      <c r="L17" s="292" t="str">
        <f t="shared" ref="L17:L24" si="8">IF(INDEX(MO_SNA_IsHistoricalPeriod,,MATCH(F17,MO_Common_ColumnHeader,0)),"Actual","Estimate")</f>
        <v>Actual</v>
      </c>
      <c r="M17" s="217">
        <f t="shared" ref="M17:M24" ca="1" si="9">IFERROR(INDEX(INDIRECT(E17),0,MATCH(F17,MO_Common_ColumnHeader,0)),"N/A")</f>
        <v>7483.4669999999996</v>
      </c>
      <c r="N17" s="239"/>
      <c r="O17" s="218">
        <f t="shared" ref="O17:O24" ca="1" si="10">IF(ISNUMBER(M17),M17-J17,"N/A")</f>
        <v>6.4669999999996435</v>
      </c>
      <c r="P17" s="219">
        <f t="shared" ref="P17:P24" ca="1" si="11">IFERROR(IF(ISNUMBER(M17),(M17-J17)/ABS(J17),"N/A"),"N/A")</f>
        <v>8.6491908519454913E-4</v>
      </c>
      <c r="Q17" s="239"/>
      <c r="R17" s="220">
        <v>44397</v>
      </c>
      <c r="S17" s="324" t="s">
        <v>295</v>
      </c>
      <c r="T17" s="240"/>
    </row>
    <row r="18" spans="1:20" s="198" customFormat="1" x14ac:dyDescent="0.25">
      <c r="A18" s="208">
        <v>194</v>
      </c>
      <c r="B18" s="292" t="str">
        <f t="shared" si="6"/>
        <v>Historical</v>
      </c>
      <c r="C18" s="239"/>
      <c r="D18" s="215" t="str">
        <f ca="1">INDEX(INDIRECT(E18),0,COLUMN(MO_Common_Column_A))</f>
        <v>Y/Y Total revenue growth, %</v>
      </c>
      <c r="E18" s="216" t="s">
        <v>296</v>
      </c>
      <c r="F18" s="292" t="s">
        <v>577</v>
      </c>
      <c r="G18" s="239"/>
      <c r="H18" s="222">
        <v>0.16200000000000001</v>
      </c>
      <c r="I18" s="222">
        <v>0.16200000000000001</v>
      </c>
      <c r="J18" s="222">
        <f t="shared" si="7"/>
        <v>0.16200000000000001</v>
      </c>
      <c r="K18" s="239"/>
      <c r="L18" s="292" t="str">
        <f t="shared" si="8"/>
        <v>Actual</v>
      </c>
      <c r="M18" s="222">
        <f t="shared" ca="1" si="9"/>
        <v>0.16281682761162575</v>
      </c>
      <c r="N18" s="239"/>
      <c r="O18" s="219">
        <f t="shared" ca="1" si="10"/>
        <v>8.1682761162574224E-4</v>
      </c>
      <c r="P18" s="219">
        <f t="shared" ca="1" si="11"/>
        <v>5.0421457507761865E-3</v>
      </c>
      <c r="Q18" s="239"/>
      <c r="R18" s="220">
        <v>44397</v>
      </c>
      <c r="S18" s="324" t="s">
        <v>295</v>
      </c>
      <c r="T18" s="240"/>
    </row>
    <row r="19" spans="1:20" s="198" customFormat="1" x14ac:dyDescent="0.25">
      <c r="A19" s="208">
        <v>193</v>
      </c>
      <c r="B19" s="292" t="str">
        <f t="shared" si="6"/>
        <v>Historical</v>
      </c>
      <c r="C19" s="239"/>
      <c r="D19" s="215" t="str">
        <f ca="1">INDEX(INDIRECT(E19),0,COLUMN(MO_Common_Column_A))</f>
        <v>EBIT</v>
      </c>
      <c r="E19" s="216" t="s">
        <v>297</v>
      </c>
      <c r="F19" s="292" t="s">
        <v>577</v>
      </c>
      <c r="G19" s="239"/>
      <c r="H19" s="217">
        <v>1550</v>
      </c>
      <c r="I19" s="217">
        <v>1550</v>
      </c>
      <c r="J19" s="217">
        <f t="shared" si="7"/>
        <v>1550</v>
      </c>
      <c r="K19" s="239"/>
      <c r="L19" s="292" t="str">
        <f t="shared" si="8"/>
        <v>Actual</v>
      </c>
      <c r="M19" s="217">
        <f t="shared" ca="1" si="9"/>
        <v>1755.2529999999997</v>
      </c>
      <c r="N19" s="239"/>
      <c r="O19" s="218">
        <f t="shared" ca="1" si="10"/>
        <v>205.2529999999997</v>
      </c>
      <c r="P19" s="219">
        <f t="shared" ca="1" si="11"/>
        <v>0.13242129032258046</v>
      </c>
      <c r="Q19" s="239"/>
      <c r="R19" s="220">
        <v>44397</v>
      </c>
      <c r="S19" s="324" t="s">
        <v>295</v>
      </c>
      <c r="T19" s="240"/>
    </row>
    <row r="20" spans="1:20" s="198" customFormat="1" x14ac:dyDescent="0.25">
      <c r="A20" s="208">
        <v>192</v>
      </c>
      <c r="B20" s="292" t="str">
        <f t="shared" si="6"/>
        <v>Historical</v>
      </c>
      <c r="C20" s="239"/>
      <c r="D20" s="215" t="s">
        <v>306</v>
      </c>
      <c r="E20" s="216" t="s">
        <v>725</v>
      </c>
      <c r="F20" s="292" t="s">
        <v>577</v>
      </c>
      <c r="G20" s="239"/>
      <c r="H20" s="222">
        <v>0.20699999999999999</v>
      </c>
      <c r="I20" s="222">
        <v>0.20699999999999999</v>
      </c>
      <c r="J20" s="222">
        <f t="shared" si="7"/>
        <v>0.20699999999999999</v>
      </c>
      <c r="K20" s="239"/>
      <c r="L20" s="292" t="str">
        <f t="shared" si="8"/>
        <v>Actual</v>
      </c>
      <c r="M20" s="222">
        <f t="shared" ca="1" si="9"/>
        <v>0.23455077706629826</v>
      </c>
      <c r="N20" s="225"/>
      <c r="O20" s="219">
        <f t="shared" ca="1" si="10"/>
        <v>2.7550777066298271E-2</v>
      </c>
      <c r="P20" s="219">
        <f t="shared" ca="1" si="11"/>
        <v>0.13309554138308344</v>
      </c>
      <c r="Q20" s="239"/>
      <c r="R20" s="220">
        <v>44397</v>
      </c>
      <c r="S20" s="324" t="s">
        <v>295</v>
      </c>
      <c r="T20" s="240"/>
    </row>
    <row r="21" spans="1:20" s="198" customFormat="1" x14ac:dyDescent="0.25">
      <c r="A21" s="208">
        <v>191</v>
      </c>
      <c r="B21" s="292" t="str">
        <f t="shared" si="6"/>
        <v>Historical</v>
      </c>
      <c r="C21" s="239"/>
      <c r="D21" s="215" t="str">
        <f ca="1">INDEX(INDIRECT(E21),0,COLUMN(MO_Common_Column_A))</f>
        <v>Net Income to Common Shareholders</v>
      </c>
      <c r="E21" s="216" t="s">
        <v>298</v>
      </c>
      <c r="F21" s="292" t="s">
        <v>577</v>
      </c>
      <c r="G21" s="239"/>
      <c r="H21" s="217">
        <v>1158</v>
      </c>
      <c r="I21" s="217">
        <v>1158</v>
      </c>
      <c r="J21" s="217">
        <f t="shared" si="7"/>
        <v>1158</v>
      </c>
      <c r="K21" s="239"/>
      <c r="L21" s="292" t="str">
        <f t="shared" si="8"/>
        <v>Actual</v>
      </c>
      <c r="M21" s="217">
        <f t="shared" ca="1" si="9"/>
        <v>1449.0709999999997</v>
      </c>
      <c r="N21" s="239"/>
      <c r="O21" s="218">
        <f t="shared" ca="1" si="10"/>
        <v>291.07099999999969</v>
      </c>
      <c r="P21" s="219">
        <f t="shared" ca="1" si="11"/>
        <v>0.25135664939550922</v>
      </c>
      <c r="Q21" s="239"/>
      <c r="R21" s="220">
        <v>44397</v>
      </c>
      <c r="S21" s="324" t="s">
        <v>295</v>
      </c>
      <c r="T21" s="240"/>
    </row>
    <row r="22" spans="1:20" s="198" customFormat="1" x14ac:dyDescent="0.25">
      <c r="A22" s="208">
        <v>190</v>
      </c>
      <c r="B22" s="292" t="str">
        <f t="shared" si="6"/>
        <v>Historical</v>
      </c>
      <c r="C22" s="239"/>
      <c r="D22" s="215" t="str">
        <f ca="1">INDEX(INDIRECT(E22),0,COLUMN(MO_Common_Column_A))</f>
        <v>Earnings Per Share - WAD</v>
      </c>
      <c r="E22" s="216" t="s">
        <v>299</v>
      </c>
      <c r="F22" s="292" t="s">
        <v>577</v>
      </c>
      <c r="G22" s="239"/>
      <c r="H22" s="223">
        <v>2.5499999999999998</v>
      </c>
      <c r="I22" s="223">
        <v>2.5499999999999998</v>
      </c>
      <c r="J22" s="223">
        <f t="shared" si="7"/>
        <v>2.5499999999999998</v>
      </c>
      <c r="K22" s="239"/>
      <c r="L22" s="292" t="str">
        <f t="shared" si="8"/>
        <v>Actual</v>
      </c>
      <c r="M22" s="223">
        <f t="shared" ca="1" si="9"/>
        <v>3.1852964774413359</v>
      </c>
      <c r="N22" s="239"/>
      <c r="O22" s="224">
        <f t="shared" ca="1" si="10"/>
        <v>0.6352964774413361</v>
      </c>
      <c r="P22" s="219">
        <f t="shared" ca="1" si="11"/>
        <v>0.24913587350640634</v>
      </c>
      <c r="Q22" s="239"/>
      <c r="R22" s="220">
        <v>44397</v>
      </c>
      <c r="S22" s="324" t="s">
        <v>295</v>
      </c>
      <c r="T22" s="240"/>
    </row>
    <row r="23" spans="1:20" s="198" customFormat="1" x14ac:dyDescent="0.25">
      <c r="A23" s="208">
        <v>189</v>
      </c>
      <c r="B23" s="292" t="str">
        <f t="shared" si="6"/>
        <v>Historical</v>
      </c>
      <c r="C23" s="239"/>
      <c r="D23" s="215" t="str">
        <f ca="1">INDEX(INDIRECT(E23),0,COLUMN(MO_Common_Column_A))</f>
        <v>Total Global EOP Paid Streaming Memberships, 000s</v>
      </c>
      <c r="E23" s="216" t="s">
        <v>465</v>
      </c>
      <c r="F23" s="292" t="s">
        <v>577</v>
      </c>
      <c r="G23" s="239"/>
      <c r="H23" s="397">
        <v>212680</v>
      </c>
      <c r="I23" s="397">
        <v>212680</v>
      </c>
      <c r="J23" s="397">
        <f t="shared" si="7"/>
        <v>212680</v>
      </c>
      <c r="K23" s="387"/>
      <c r="L23" s="292" t="str">
        <f t="shared" si="8"/>
        <v>Actual</v>
      </c>
      <c r="M23" s="397">
        <f t="shared" ca="1" si="9"/>
        <v>213563</v>
      </c>
      <c r="N23" s="387"/>
      <c r="O23" s="398">
        <f t="shared" ca="1" si="10"/>
        <v>883</v>
      </c>
      <c r="P23" s="219">
        <f t="shared" ca="1" si="11"/>
        <v>4.1517773180364866E-3</v>
      </c>
      <c r="Q23" s="239"/>
      <c r="R23" s="220">
        <v>44397</v>
      </c>
      <c r="S23" s="324" t="s">
        <v>295</v>
      </c>
      <c r="T23" s="240"/>
    </row>
    <row r="24" spans="1:20" s="198" customFormat="1" x14ac:dyDescent="0.25">
      <c r="A24" s="208">
        <v>188</v>
      </c>
      <c r="B24" s="292" t="str">
        <f t="shared" si="6"/>
        <v>Historical</v>
      </c>
      <c r="C24" s="239"/>
      <c r="D24" s="215" t="str">
        <f ca="1">INDEX(INDIRECT(E24),0,COLUMN(MO_Common_Column_A))</f>
        <v>Total Paid Streaming Memberships Net Additions, 000s</v>
      </c>
      <c r="E24" s="216" t="s">
        <v>466</v>
      </c>
      <c r="F24" s="292" t="s">
        <v>577</v>
      </c>
      <c r="G24" s="239"/>
      <c r="H24" s="217">
        <v>3500</v>
      </c>
      <c r="I24" s="217">
        <v>3500</v>
      </c>
      <c r="J24" s="217">
        <f t="shared" si="7"/>
        <v>3500</v>
      </c>
      <c r="K24" s="239"/>
      <c r="L24" s="292" t="str">
        <f t="shared" si="8"/>
        <v>Actual</v>
      </c>
      <c r="M24" s="217">
        <f t="shared" ca="1" si="9"/>
        <v>4383</v>
      </c>
      <c r="N24" s="239"/>
      <c r="O24" s="218">
        <f t="shared" ca="1" si="10"/>
        <v>883</v>
      </c>
      <c r="P24" s="219">
        <f t="shared" ca="1" si="11"/>
        <v>0.25228571428571428</v>
      </c>
      <c r="Q24" s="239"/>
      <c r="R24" s="220">
        <v>44397</v>
      </c>
      <c r="S24" s="324" t="s">
        <v>295</v>
      </c>
      <c r="T24" s="240"/>
    </row>
    <row r="25" spans="1:20" s="198" customFormat="1" x14ac:dyDescent="0.25">
      <c r="A25" s="208">
        <v>187</v>
      </c>
      <c r="B25" s="239"/>
      <c r="C25" s="239"/>
      <c r="D25" s="226"/>
      <c r="E25" s="239"/>
      <c r="F25" s="239"/>
      <c r="G25" s="239"/>
      <c r="H25" s="239"/>
      <c r="I25" s="239"/>
      <c r="J25" s="239"/>
      <c r="K25" s="239"/>
      <c r="L25" s="239"/>
      <c r="M25" s="239"/>
      <c r="N25" s="239"/>
      <c r="O25" s="226"/>
      <c r="P25" s="226"/>
      <c r="Q25" s="239"/>
      <c r="R25" s="239"/>
      <c r="S25" s="364"/>
      <c r="T25" s="239"/>
    </row>
    <row r="26" spans="1:20" s="198" customFormat="1" x14ac:dyDescent="0.25">
      <c r="A26" s="208">
        <v>186</v>
      </c>
      <c r="B26" s="292" t="str">
        <f t="shared" ref="B26:B33" si="12">IF(INDEX(MO_SNA_IsHistoricalPeriod,,MATCH(F26,MO_Common_ColumnHeader,0)),"Historical","Forward")</f>
        <v>Historical</v>
      </c>
      <c r="C26" s="239"/>
      <c r="D26" s="215" t="str">
        <f ca="1">INDEX(INDIRECT(E26),0,COLUMN(MO_Common_Column_A))</f>
        <v>Net Revenue</v>
      </c>
      <c r="E26" s="216" t="s">
        <v>293</v>
      </c>
      <c r="F26" s="292" t="s">
        <v>571</v>
      </c>
      <c r="G26" s="239"/>
      <c r="H26" s="217">
        <v>7302</v>
      </c>
      <c r="I26" s="217">
        <v>7302</v>
      </c>
      <c r="J26" s="217">
        <f t="shared" ref="J26:J33" si="13">AVERAGE(H26:I26)</f>
        <v>7302</v>
      </c>
      <c r="K26" s="239"/>
      <c r="L26" s="292" t="str">
        <f t="shared" ref="L26:L33" si="14">IF(INDEX(MO_SNA_IsHistoricalPeriod,,MATCH(F26,MO_Common_ColumnHeader,0)),"Actual","Estimate")</f>
        <v>Actual</v>
      </c>
      <c r="M26" s="217">
        <f t="shared" ref="M26:M33" ca="1" si="15">IFERROR(INDEX(INDIRECT(E26),0,MATCH(F26,MO_Common_ColumnHeader,0)),"N/A")</f>
        <v>7341.777</v>
      </c>
      <c r="N26" s="239"/>
      <c r="O26" s="218">
        <f t="shared" ref="O26:O33" ca="1" si="16">IF(ISNUMBER(M26),M26-J26,"N/A")</f>
        <v>39.777000000000044</v>
      </c>
      <c r="P26" s="219">
        <f t="shared" ref="P26:P33" ca="1" si="17">IFERROR(IF(ISNUMBER(M26),(M26-J26)/ABS(J26),"N/A"),"N/A")</f>
        <v>5.4474116680361603E-3</v>
      </c>
      <c r="Q26" s="239"/>
      <c r="R26" s="220">
        <v>44306</v>
      </c>
      <c r="S26" s="324" t="s">
        <v>295</v>
      </c>
      <c r="T26" s="240"/>
    </row>
    <row r="27" spans="1:20" s="198" customFormat="1" x14ac:dyDescent="0.25">
      <c r="A27" s="208">
        <v>185</v>
      </c>
      <c r="B27" s="292" t="str">
        <f t="shared" si="12"/>
        <v>Historical</v>
      </c>
      <c r="C27" s="239"/>
      <c r="D27" s="215" t="str">
        <f ca="1">INDEX(INDIRECT(E27),0,COLUMN(MO_Common_Column_A))</f>
        <v>Y/Y Total revenue growth, %</v>
      </c>
      <c r="E27" s="216" t="s">
        <v>296</v>
      </c>
      <c r="F27" s="292" t="s">
        <v>571</v>
      </c>
      <c r="G27" s="239"/>
      <c r="H27" s="222">
        <v>0.188</v>
      </c>
      <c r="I27" s="222">
        <v>0.188</v>
      </c>
      <c r="J27" s="222">
        <f t="shared" si="13"/>
        <v>0.188</v>
      </c>
      <c r="K27" s="239"/>
      <c r="L27" s="292" t="str">
        <f t="shared" si="14"/>
        <v>Actual</v>
      </c>
      <c r="M27" s="222">
        <f t="shared" ca="1" si="15"/>
        <v>0.19411767767472066</v>
      </c>
      <c r="N27" s="239"/>
      <c r="O27" s="219">
        <f t="shared" ca="1" si="16"/>
        <v>6.1176776747206563E-3</v>
      </c>
      <c r="P27" s="219">
        <f t="shared" ca="1" si="17"/>
        <v>3.2540838695322642E-2</v>
      </c>
      <c r="Q27" s="239"/>
      <c r="R27" s="220">
        <v>44306</v>
      </c>
      <c r="S27" s="324" t="s">
        <v>295</v>
      </c>
      <c r="T27" s="240"/>
    </row>
    <row r="28" spans="1:20" s="198" customFormat="1" x14ac:dyDescent="0.25">
      <c r="A28" s="208">
        <v>184</v>
      </c>
      <c r="B28" s="292" t="str">
        <f t="shared" si="12"/>
        <v>Historical</v>
      </c>
      <c r="C28" s="239"/>
      <c r="D28" s="215" t="str">
        <f ca="1">INDEX(INDIRECT(E28),0,COLUMN(MO_Common_Column_A))</f>
        <v>EBIT</v>
      </c>
      <c r="E28" s="216" t="s">
        <v>297</v>
      </c>
      <c r="F28" s="292" t="s">
        <v>571</v>
      </c>
      <c r="G28" s="239"/>
      <c r="H28" s="217">
        <v>1865</v>
      </c>
      <c r="I28" s="217">
        <v>1865</v>
      </c>
      <c r="J28" s="217">
        <f t="shared" si="13"/>
        <v>1865</v>
      </c>
      <c r="K28" s="239"/>
      <c r="L28" s="292" t="str">
        <f t="shared" si="14"/>
        <v>Actual</v>
      </c>
      <c r="M28" s="217">
        <f t="shared" ca="1" si="15"/>
        <v>1847.6300000000003</v>
      </c>
      <c r="N28" s="239"/>
      <c r="O28" s="218">
        <f t="shared" ca="1" si="16"/>
        <v>-17.369999999999663</v>
      </c>
      <c r="P28" s="219">
        <f t="shared" ca="1" si="17"/>
        <v>-9.3136729222518307E-3</v>
      </c>
      <c r="Q28" s="239"/>
      <c r="R28" s="220">
        <v>44306</v>
      </c>
      <c r="S28" s="324" t="s">
        <v>295</v>
      </c>
      <c r="T28" s="240"/>
    </row>
    <row r="29" spans="1:20" s="198" customFormat="1" x14ac:dyDescent="0.25">
      <c r="A29" s="208">
        <v>183</v>
      </c>
      <c r="B29" s="292" t="str">
        <f t="shared" si="12"/>
        <v>Historical</v>
      </c>
      <c r="C29" s="239"/>
      <c r="D29" s="215" t="s">
        <v>306</v>
      </c>
      <c r="E29" s="216" t="s">
        <v>725</v>
      </c>
      <c r="F29" s="292" t="s">
        <v>571</v>
      </c>
      <c r="G29" s="239"/>
      <c r="H29" s="222">
        <v>0.255</v>
      </c>
      <c r="I29" s="222">
        <v>0.255</v>
      </c>
      <c r="J29" s="222">
        <f t="shared" si="13"/>
        <v>0.255</v>
      </c>
      <c r="K29" s="239"/>
      <c r="L29" s="292" t="str">
        <f t="shared" si="14"/>
        <v>Actual</v>
      </c>
      <c r="M29" s="222">
        <f t="shared" ca="1" si="15"/>
        <v>0.25165978209362672</v>
      </c>
      <c r="N29" s="225"/>
      <c r="O29" s="219">
        <f t="shared" ca="1" si="16"/>
        <v>-3.3402179063732884E-3</v>
      </c>
      <c r="P29" s="219">
        <f t="shared" ca="1" si="17"/>
        <v>-1.3098893750483483E-2</v>
      </c>
      <c r="Q29" s="239"/>
      <c r="R29" s="220">
        <v>44306</v>
      </c>
      <c r="S29" s="324" t="s">
        <v>295</v>
      </c>
      <c r="T29" s="240"/>
    </row>
    <row r="30" spans="1:20" s="198" customFormat="1" x14ac:dyDescent="0.25">
      <c r="A30" s="208">
        <v>182</v>
      </c>
      <c r="B30" s="292" t="str">
        <f t="shared" si="12"/>
        <v>Historical</v>
      </c>
      <c r="C30" s="239"/>
      <c r="D30" s="215" t="str">
        <f ca="1">INDEX(INDIRECT(E30),0,COLUMN(MO_Common_Column_A))</f>
        <v>Net Income to Common Shareholders</v>
      </c>
      <c r="E30" s="216" t="s">
        <v>298</v>
      </c>
      <c r="F30" s="292" t="s">
        <v>571</v>
      </c>
      <c r="G30" s="239"/>
      <c r="H30" s="217">
        <v>1441</v>
      </c>
      <c r="I30" s="217">
        <v>1441</v>
      </c>
      <c r="J30" s="217">
        <f t="shared" si="13"/>
        <v>1441</v>
      </c>
      <c r="K30" s="239"/>
      <c r="L30" s="292" t="str">
        <f t="shared" si="14"/>
        <v>Actual</v>
      </c>
      <c r="M30" s="217">
        <f t="shared" ca="1" si="15"/>
        <v>1353.0130000000001</v>
      </c>
      <c r="N30" s="239"/>
      <c r="O30" s="218">
        <f t="shared" ca="1" si="16"/>
        <v>-87.986999999999853</v>
      </c>
      <c r="P30" s="219">
        <f t="shared" ca="1" si="17"/>
        <v>-6.1059680777237925E-2</v>
      </c>
      <c r="Q30" s="239"/>
      <c r="R30" s="220">
        <v>44306</v>
      </c>
      <c r="S30" s="324" t="s">
        <v>295</v>
      </c>
      <c r="T30" s="240"/>
    </row>
    <row r="31" spans="1:20" s="198" customFormat="1" x14ac:dyDescent="0.25">
      <c r="A31" s="208">
        <v>181</v>
      </c>
      <c r="B31" s="292" t="str">
        <f t="shared" si="12"/>
        <v>Historical</v>
      </c>
      <c r="C31" s="239"/>
      <c r="D31" s="215" t="str">
        <f ca="1">INDEX(INDIRECT(E31),0,COLUMN(MO_Common_Column_A))</f>
        <v>Earnings Per Share - WAD</v>
      </c>
      <c r="E31" s="216" t="s">
        <v>299</v>
      </c>
      <c r="F31" s="292" t="s">
        <v>571</v>
      </c>
      <c r="G31" s="239"/>
      <c r="H31" s="223">
        <v>3.16</v>
      </c>
      <c r="I31" s="223">
        <v>3.16</v>
      </c>
      <c r="J31" s="223">
        <f t="shared" si="13"/>
        <v>3.16</v>
      </c>
      <c r="K31" s="239"/>
      <c r="L31" s="292" t="str">
        <f t="shared" si="14"/>
        <v>Actual</v>
      </c>
      <c r="M31" s="223">
        <f t="shared" ca="1" si="15"/>
        <v>2.9728121038211146</v>
      </c>
      <c r="N31" s="239"/>
      <c r="O31" s="224">
        <f t="shared" ca="1" si="16"/>
        <v>-0.18718789617888554</v>
      </c>
      <c r="P31" s="219">
        <f t="shared" ca="1" si="17"/>
        <v>-5.9236676005976437E-2</v>
      </c>
      <c r="Q31" s="239"/>
      <c r="R31" s="220">
        <v>44306</v>
      </c>
      <c r="S31" s="324" t="s">
        <v>295</v>
      </c>
      <c r="T31" s="240"/>
    </row>
    <row r="32" spans="1:20" s="198" customFormat="1" x14ac:dyDescent="0.25">
      <c r="A32" s="208">
        <v>180</v>
      </c>
      <c r="B32" s="292" t="str">
        <f t="shared" si="12"/>
        <v>Historical</v>
      </c>
      <c r="C32" s="239"/>
      <c r="D32" s="215" t="str">
        <f ca="1">INDEX(INDIRECT(E32),0,COLUMN(MO_Common_Column_A))</f>
        <v>Total Global EOP Paid Streaming Memberships, 000s</v>
      </c>
      <c r="E32" s="216" t="s">
        <v>465</v>
      </c>
      <c r="F32" s="292" t="s">
        <v>571</v>
      </c>
      <c r="G32" s="239"/>
      <c r="H32" s="397">
        <v>208640</v>
      </c>
      <c r="I32" s="397">
        <v>208640</v>
      </c>
      <c r="J32" s="397">
        <f t="shared" si="13"/>
        <v>208640</v>
      </c>
      <c r="K32" s="387"/>
      <c r="L32" s="292" t="str">
        <f t="shared" si="14"/>
        <v>Actual</v>
      </c>
      <c r="M32" s="397">
        <f t="shared" ca="1" si="15"/>
        <v>209180</v>
      </c>
      <c r="N32" s="387"/>
      <c r="O32" s="398">
        <f t="shared" ca="1" si="16"/>
        <v>540</v>
      </c>
      <c r="P32" s="219">
        <f t="shared" ca="1" si="17"/>
        <v>2.5881901840490796E-3</v>
      </c>
      <c r="Q32" s="239"/>
      <c r="R32" s="220">
        <v>44306</v>
      </c>
      <c r="S32" s="324" t="s">
        <v>295</v>
      </c>
      <c r="T32" s="240"/>
    </row>
    <row r="33" spans="1:20" s="198" customFormat="1" x14ac:dyDescent="0.25">
      <c r="A33" s="208">
        <v>179</v>
      </c>
      <c r="B33" s="292" t="str">
        <f t="shared" si="12"/>
        <v>Historical</v>
      </c>
      <c r="C33" s="239"/>
      <c r="D33" s="215" t="str">
        <f ca="1">INDEX(INDIRECT(E33),0,COLUMN(MO_Common_Column_A))</f>
        <v>Total Paid Streaming Memberships Net Additions, 000s</v>
      </c>
      <c r="E33" s="216" t="s">
        <v>466</v>
      </c>
      <c r="F33" s="292" t="s">
        <v>571</v>
      </c>
      <c r="G33" s="239"/>
      <c r="H33" s="217">
        <v>1000</v>
      </c>
      <c r="I33" s="217">
        <v>1000</v>
      </c>
      <c r="J33" s="217">
        <f t="shared" si="13"/>
        <v>1000</v>
      </c>
      <c r="K33" s="239"/>
      <c r="L33" s="292" t="str">
        <f t="shared" si="14"/>
        <v>Actual</v>
      </c>
      <c r="M33" s="217">
        <f t="shared" ca="1" si="15"/>
        <v>1541</v>
      </c>
      <c r="N33" s="239"/>
      <c r="O33" s="218">
        <f t="shared" ca="1" si="16"/>
        <v>541</v>
      </c>
      <c r="P33" s="219">
        <f t="shared" ca="1" si="17"/>
        <v>0.54100000000000004</v>
      </c>
      <c r="Q33" s="239"/>
      <c r="R33" s="220">
        <v>44306</v>
      </c>
      <c r="S33" s="324" t="s">
        <v>295</v>
      </c>
      <c r="T33" s="240"/>
    </row>
    <row r="34" spans="1:20" s="198" customFormat="1" x14ac:dyDescent="0.25">
      <c r="A34" s="208">
        <v>178</v>
      </c>
      <c r="B34" s="239"/>
      <c r="C34" s="239"/>
      <c r="D34" s="226"/>
      <c r="E34" s="239"/>
      <c r="F34" s="239"/>
      <c r="G34" s="239"/>
      <c r="H34" s="239"/>
      <c r="I34" s="239"/>
      <c r="J34" s="239"/>
      <c r="K34" s="239"/>
      <c r="L34" s="239"/>
      <c r="M34" s="239"/>
      <c r="N34" s="239"/>
      <c r="O34" s="226"/>
      <c r="P34" s="226"/>
      <c r="Q34" s="239"/>
      <c r="R34" s="239"/>
      <c r="S34" s="364"/>
      <c r="T34" s="239"/>
    </row>
    <row r="35" spans="1:20" s="198" customFormat="1" x14ac:dyDescent="0.25">
      <c r="A35" s="208">
        <v>177</v>
      </c>
      <c r="B35" s="292" t="str">
        <f t="shared" ref="B35:B42" si="18">IF(INDEX(MO_SNA_IsHistoricalPeriod,,MATCH(F35,MO_Common_ColumnHeader,0)),"Historical","Forward")</f>
        <v>Historical</v>
      </c>
      <c r="C35" s="239"/>
      <c r="D35" s="215" t="str">
        <f ca="1">INDEX(INDIRECT(E35),0,COLUMN(MO_Common_Column_A))</f>
        <v>Net Revenue</v>
      </c>
      <c r="E35" s="216" t="s">
        <v>293</v>
      </c>
      <c r="F35" s="292" t="s">
        <v>568</v>
      </c>
      <c r="G35" s="239"/>
      <c r="H35" s="217">
        <v>7129</v>
      </c>
      <c r="I35" s="217">
        <v>7129</v>
      </c>
      <c r="J35" s="217">
        <f t="shared" ref="J35:J42" si="19">AVERAGE(H35:I35)</f>
        <v>7129</v>
      </c>
      <c r="K35" s="239"/>
      <c r="L35" s="292" t="str">
        <f t="shared" ref="L35:L42" si="20">IF(INDEX(MO_SNA_IsHistoricalPeriod,,MATCH(F35,MO_Common_ColumnHeader,0)),"Actual","Estimate")</f>
        <v>Actual</v>
      </c>
      <c r="M35" s="217">
        <f t="shared" ref="M35:M42" ca="1" si="21">IFERROR(INDEX(INDIRECT(E35),0,MATCH(F35,MO_Common_ColumnHeader,0)),"N/A")</f>
        <v>7163.2820000000002</v>
      </c>
      <c r="N35" s="239"/>
      <c r="O35" s="218">
        <f t="shared" ref="O35:O42" ca="1" si="22">IF(ISNUMBER(M35),M35-J35,"N/A")</f>
        <v>34.282000000000153</v>
      </c>
      <c r="P35" s="219">
        <f t="shared" ref="P35:P42" ca="1" si="23">IFERROR(IF(ISNUMBER(M35),(M35-J35)/ABS(J35),"N/A"),"N/A")</f>
        <v>4.8088090896339112E-3</v>
      </c>
      <c r="Q35" s="239"/>
      <c r="R35" s="220">
        <v>44215</v>
      </c>
      <c r="S35" s="324" t="s">
        <v>295</v>
      </c>
      <c r="T35" s="240"/>
    </row>
    <row r="36" spans="1:20" s="198" customFormat="1" x14ac:dyDescent="0.25">
      <c r="A36" s="208">
        <v>176</v>
      </c>
      <c r="B36" s="292" t="str">
        <f t="shared" si="18"/>
        <v>Historical</v>
      </c>
      <c r="C36" s="239"/>
      <c r="D36" s="215" t="str">
        <f ca="1">INDEX(INDIRECT(E36),0,COLUMN(MO_Common_Column_A))</f>
        <v>Y/Y Total revenue growth, %</v>
      </c>
      <c r="E36" s="216" t="s">
        <v>296</v>
      </c>
      <c r="F36" s="292" t="s">
        <v>568</v>
      </c>
      <c r="G36" s="239"/>
      <c r="H36" s="222">
        <v>0.23599999999999999</v>
      </c>
      <c r="I36" s="222">
        <v>0.23599999999999999</v>
      </c>
      <c r="J36" s="222">
        <f t="shared" si="19"/>
        <v>0.23599999999999999</v>
      </c>
      <c r="K36" s="239"/>
      <c r="L36" s="292" t="str">
        <f t="shared" si="20"/>
        <v>Actual</v>
      </c>
      <c r="M36" s="222">
        <f t="shared" ca="1" si="21"/>
        <v>0.24196701938436038</v>
      </c>
      <c r="N36" s="239"/>
      <c r="O36" s="219">
        <f t="shared" ca="1" si="22"/>
        <v>5.9670193843603947E-3</v>
      </c>
      <c r="P36" s="219">
        <f t="shared" ca="1" si="23"/>
        <v>2.5283980442205065E-2</v>
      </c>
      <c r="Q36" s="239"/>
      <c r="R36" s="220">
        <v>44215</v>
      </c>
      <c r="S36" s="324" t="s">
        <v>295</v>
      </c>
      <c r="T36" s="240"/>
    </row>
    <row r="37" spans="1:20" s="198" customFormat="1" x14ac:dyDescent="0.25">
      <c r="A37" s="208">
        <v>175</v>
      </c>
      <c r="B37" s="292" t="str">
        <f t="shared" si="18"/>
        <v>Historical</v>
      </c>
      <c r="C37" s="239"/>
      <c r="D37" s="215" t="str">
        <f ca="1">INDEX(INDIRECT(E37),0,COLUMN(MO_Common_Column_A))</f>
        <v>EBIT</v>
      </c>
      <c r="E37" s="216" t="s">
        <v>297</v>
      </c>
      <c r="F37" s="292" t="s">
        <v>568</v>
      </c>
      <c r="G37" s="239"/>
      <c r="H37" s="217">
        <v>1780</v>
      </c>
      <c r="I37" s="217">
        <v>1780</v>
      </c>
      <c r="J37" s="217">
        <f t="shared" si="19"/>
        <v>1780</v>
      </c>
      <c r="K37" s="239"/>
      <c r="L37" s="292" t="str">
        <f t="shared" si="20"/>
        <v>Actual</v>
      </c>
      <c r="M37" s="217">
        <f t="shared" ca="1" si="21"/>
        <v>1959.8560000000002</v>
      </c>
      <c r="N37" s="239"/>
      <c r="O37" s="218">
        <f t="shared" ca="1" si="22"/>
        <v>179.85600000000022</v>
      </c>
      <c r="P37" s="219">
        <f t="shared" ca="1" si="23"/>
        <v>0.10104269662921361</v>
      </c>
      <c r="Q37" s="239"/>
      <c r="R37" s="220">
        <v>44215</v>
      </c>
      <c r="S37" s="324" t="s">
        <v>295</v>
      </c>
      <c r="T37" s="240"/>
    </row>
    <row r="38" spans="1:20" s="198" customFormat="1" x14ac:dyDescent="0.25">
      <c r="A38" s="208">
        <v>174</v>
      </c>
      <c r="B38" s="292" t="str">
        <f t="shared" si="18"/>
        <v>Historical</v>
      </c>
      <c r="C38" s="239"/>
      <c r="D38" s="215" t="s">
        <v>306</v>
      </c>
      <c r="E38" s="216" t="s">
        <v>725</v>
      </c>
      <c r="F38" s="292" t="s">
        <v>568</v>
      </c>
      <c r="G38" s="239"/>
      <c r="H38" s="222">
        <v>0.25</v>
      </c>
      <c r="I38" s="222">
        <v>0.25</v>
      </c>
      <c r="J38" s="222">
        <f t="shared" si="19"/>
        <v>0.25</v>
      </c>
      <c r="K38" s="239"/>
      <c r="L38" s="292" t="str">
        <f t="shared" si="20"/>
        <v>Actual</v>
      </c>
      <c r="M38" s="222">
        <f t="shared" ca="1" si="21"/>
        <v>0.27359749343945977</v>
      </c>
      <c r="N38" s="225"/>
      <c r="O38" s="219">
        <f t="shared" ca="1" si="22"/>
        <v>2.3597493439459771E-2</v>
      </c>
      <c r="P38" s="219">
        <f t="shared" ca="1" si="23"/>
        <v>9.4389973757839085E-2</v>
      </c>
      <c r="Q38" s="239"/>
      <c r="R38" s="220">
        <v>44215</v>
      </c>
      <c r="S38" s="324" t="s">
        <v>295</v>
      </c>
      <c r="T38" s="240"/>
    </row>
    <row r="39" spans="1:20" s="198" customFormat="1" x14ac:dyDescent="0.25">
      <c r="A39" s="208">
        <v>173</v>
      </c>
      <c r="B39" s="292" t="str">
        <f t="shared" si="18"/>
        <v>Historical</v>
      </c>
      <c r="C39" s="239"/>
      <c r="D39" s="215" t="str">
        <f ca="1">INDEX(INDIRECT(E39),0,COLUMN(MO_Common_Column_A))</f>
        <v>Net Income to Common Shareholders</v>
      </c>
      <c r="E39" s="216" t="s">
        <v>298</v>
      </c>
      <c r="F39" s="292" t="s">
        <v>568</v>
      </c>
      <c r="G39" s="239"/>
      <c r="H39" s="217">
        <v>1355</v>
      </c>
      <c r="I39" s="217">
        <v>1355</v>
      </c>
      <c r="J39" s="217">
        <f t="shared" si="19"/>
        <v>1355</v>
      </c>
      <c r="K39" s="239"/>
      <c r="L39" s="292" t="str">
        <f t="shared" si="20"/>
        <v>Actual</v>
      </c>
      <c r="M39" s="217">
        <f t="shared" ca="1" si="21"/>
        <v>1706.7150000000001</v>
      </c>
      <c r="N39" s="239"/>
      <c r="O39" s="218">
        <f t="shared" ca="1" si="22"/>
        <v>351.71500000000015</v>
      </c>
      <c r="P39" s="219">
        <f t="shared" ca="1" si="23"/>
        <v>0.25956826568265695</v>
      </c>
      <c r="Q39" s="239"/>
      <c r="R39" s="220">
        <v>44215</v>
      </c>
      <c r="S39" s="324" t="s">
        <v>295</v>
      </c>
      <c r="T39" s="240"/>
    </row>
    <row r="40" spans="1:20" s="198" customFormat="1" x14ac:dyDescent="0.25">
      <c r="A40" s="208">
        <v>172</v>
      </c>
      <c r="B40" s="292" t="str">
        <f t="shared" si="18"/>
        <v>Historical</v>
      </c>
      <c r="C40" s="239"/>
      <c r="D40" s="215" t="str">
        <f ca="1">INDEX(INDIRECT(E40),0,COLUMN(MO_Common_Column_A))</f>
        <v>Earnings Per Share - WAD</v>
      </c>
      <c r="E40" s="216" t="s">
        <v>299</v>
      </c>
      <c r="F40" s="292" t="s">
        <v>568</v>
      </c>
      <c r="G40" s="239"/>
      <c r="H40" s="223">
        <v>2.97</v>
      </c>
      <c r="I40" s="223">
        <v>2.97</v>
      </c>
      <c r="J40" s="223">
        <f t="shared" si="19"/>
        <v>2.97</v>
      </c>
      <c r="K40" s="239"/>
      <c r="L40" s="292" t="str">
        <f t="shared" si="20"/>
        <v>Actual</v>
      </c>
      <c r="M40" s="223">
        <f t="shared" ca="1" si="21"/>
        <v>3.7457450053880139</v>
      </c>
      <c r="N40" s="239"/>
      <c r="O40" s="224">
        <f t="shared" ca="1" si="22"/>
        <v>0.77574500538801372</v>
      </c>
      <c r="P40" s="219">
        <f t="shared" ca="1" si="23"/>
        <v>0.2611936045077487</v>
      </c>
      <c r="Q40" s="239"/>
      <c r="R40" s="220">
        <v>44215</v>
      </c>
      <c r="S40" s="324" t="s">
        <v>295</v>
      </c>
      <c r="T40" s="240"/>
    </row>
    <row r="41" spans="1:20" s="198" customFormat="1" x14ac:dyDescent="0.25">
      <c r="A41" s="208">
        <v>171</v>
      </c>
      <c r="B41" s="292" t="str">
        <f t="shared" si="18"/>
        <v>Historical</v>
      </c>
      <c r="C41" s="239"/>
      <c r="D41" s="215" t="str">
        <f ca="1">INDEX(INDIRECT(E41),0,COLUMN(MO_Common_Column_A))</f>
        <v>Total Global EOP Paid Streaming Memberships, 000s</v>
      </c>
      <c r="E41" s="216" t="s">
        <v>465</v>
      </c>
      <c r="F41" s="292" t="s">
        <v>568</v>
      </c>
      <c r="G41" s="239"/>
      <c r="H41" s="397">
        <v>209660</v>
      </c>
      <c r="I41" s="397">
        <v>209660</v>
      </c>
      <c r="J41" s="397">
        <f t="shared" si="19"/>
        <v>209660</v>
      </c>
      <c r="K41" s="387"/>
      <c r="L41" s="292" t="str">
        <f t="shared" si="20"/>
        <v>Actual</v>
      </c>
      <c r="M41" s="397">
        <f t="shared" ca="1" si="21"/>
        <v>207639</v>
      </c>
      <c r="N41" s="387"/>
      <c r="O41" s="398">
        <f t="shared" ca="1" si="22"/>
        <v>-2021</v>
      </c>
      <c r="P41" s="219">
        <f t="shared" ca="1" si="23"/>
        <v>-9.639416197653343E-3</v>
      </c>
      <c r="Q41" s="239"/>
      <c r="R41" s="220">
        <v>44215</v>
      </c>
      <c r="S41" s="324" t="s">
        <v>295</v>
      </c>
      <c r="T41" s="240"/>
    </row>
    <row r="42" spans="1:20" s="198" customFormat="1" x14ac:dyDescent="0.25">
      <c r="A42" s="208">
        <v>170</v>
      </c>
      <c r="B42" s="292" t="str">
        <f t="shared" si="18"/>
        <v>Historical</v>
      </c>
      <c r="C42" s="239"/>
      <c r="D42" s="215" t="str">
        <f ca="1">INDEX(INDIRECT(E42),0,COLUMN(MO_Common_Column_A))</f>
        <v>Total Paid Streaming Memberships Net Additions, 000s</v>
      </c>
      <c r="E42" s="216" t="s">
        <v>466</v>
      </c>
      <c r="F42" s="292" t="s">
        <v>568</v>
      </c>
      <c r="G42" s="239"/>
      <c r="H42" s="217">
        <v>6000</v>
      </c>
      <c r="I42" s="217">
        <v>6000</v>
      </c>
      <c r="J42" s="217">
        <f t="shared" si="19"/>
        <v>6000</v>
      </c>
      <c r="K42" s="239"/>
      <c r="L42" s="292" t="str">
        <f t="shared" si="20"/>
        <v>Actual</v>
      </c>
      <c r="M42" s="217">
        <f t="shared" ca="1" si="21"/>
        <v>3976</v>
      </c>
      <c r="N42" s="239"/>
      <c r="O42" s="218">
        <f t="shared" ca="1" si="22"/>
        <v>-2024</v>
      </c>
      <c r="P42" s="219">
        <f t="shared" ca="1" si="23"/>
        <v>-0.33733333333333332</v>
      </c>
      <c r="Q42" s="239"/>
      <c r="R42" s="220">
        <v>44215</v>
      </c>
      <c r="S42" s="324" t="s">
        <v>295</v>
      </c>
      <c r="T42" s="240"/>
    </row>
    <row r="43" spans="1:20" s="198" customFormat="1" x14ac:dyDescent="0.25">
      <c r="A43" s="208">
        <v>169</v>
      </c>
      <c r="B43" s="239"/>
      <c r="C43" s="239"/>
      <c r="D43" s="226"/>
      <c r="E43" s="239"/>
      <c r="F43" s="239"/>
      <c r="G43" s="239"/>
      <c r="H43" s="239"/>
      <c r="I43" s="239"/>
      <c r="J43" s="239"/>
      <c r="K43" s="239"/>
      <c r="L43" s="239"/>
      <c r="M43" s="239"/>
      <c r="N43" s="239"/>
      <c r="O43" s="226"/>
      <c r="P43" s="226"/>
      <c r="Q43" s="239"/>
      <c r="R43" s="239"/>
      <c r="S43" s="364"/>
      <c r="T43" s="239"/>
    </row>
    <row r="44" spans="1:20" s="198" customFormat="1" x14ac:dyDescent="0.25">
      <c r="A44" s="208">
        <v>168</v>
      </c>
      <c r="B44" s="292" t="str">
        <f>IF(INDEX(MO_SNA_IsHistoricalPeriod,,MATCH(F44,MO_Common_ColumnHeader,0)),"Historical","Forward")</f>
        <v>Forward</v>
      </c>
      <c r="C44" s="239"/>
      <c r="D44" s="215" t="s">
        <v>306</v>
      </c>
      <c r="E44" s="216" t="s">
        <v>725</v>
      </c>
      <c r="F44" s="292" t="s">
        <v>566</v>
      </c>
      <c r="G44" s="239"/>
      <c r="H44" s="222">
        <v>0.19</v>
      </c>
      <c r="I44" s="222">
        <v>0.19</v>
      </c>
      <c r="J44" s="222">
        <f>AVERAGE(H44:I44)</f>
        <v>0.19</v>
      </c>
      <c r="K44" s="239"/>
      <c r="L44" s="292" t="str">
        <f>IF(INDEX(MO_SNA_IsHistoricalPeriod,,MATCH(F44,MO_Common_ColumnHeader,0)),"Actual","Estimate")</f>
        <v>Estimate</v>
      </c>
      <c r="M44" s="222">
        <f ca="1">IFERROR(INDEX(INDIRECT(E44),0,MATCH(F44,MO_Common_ColumnHeader,0)),"N/A")</f>
        <v>0.20499063528394235</v>
      </c>
      <c r="N44" s="225"/>
      <c r="O44" s="219">
        <f ca="1">IF(ISNUMBER(M44),M44-J44,"N/A")</f>
        <v>1.4990635283942344E-2</v>
      </c>
      <c r="P44" s="219">
        <f ca="1">IFERROR(IF(ISNUMBER(M44),(M44-J44)/ABS(J44),"N/A"),"N/A")</f>
        <v>7.8898080441801813E-2</v>
      </c>
      <c r="Q44" s="239"/>
      <c r="R44" s="220">
        <v>44114</v>
      </c>
      <c r="S44" s="324" t="s">
        <v>295</v>
      </c>
      <c r="T44" s="240"/>
    </row>
    <row r="45" spans="1:20" s="198" customFormat="1" x14ac:dyDescent="0.25">
      <c r="A45" s="208">
        <v>167</v>
      </c>
      <c r="B45" s="239"/>
      <c r="C45" s="239"/>
      <c r="D45" s="226"/>
      <c r="E45" s="239"/>
      <c r="F45" s="239"/>
      <c r="G45" s="239"/>
      <c r="H45" s="239"/>
      <c r="I45" s="239"/>
      <c r="J45" s="239"/>
      <c r="K45" s="239"/>
      <c r="L45" s="239"/>
      <c r="M45" s="239"/>
      <c r="N45" s="239"/>
      <c r="O45" s="226"/>
      <c r="P45" s="226"/>
      <c r="Q45" s="239"/>
      <c r="R45" s="239"/>
      <c r="S45" s="364"/>
      <c r="T45" s="239"/>
    </row>
    <row r="46" spans="1:20" s="198" customFormat="1" x14ac:dyDescent="0.25">
      <c r="A46" s="208">
        <v>166</v>
      </c>
      <c r="B46" s="292" t="str">
        <f>IF(INDEX(MO_SNA_IsHistoricalPeriod,,MATCH(F46,MO_Common_ColumnHeader,0)),"Historical","Forward")</f>
        <v>Historical</v>
      </c>
      <c r="C46" s="239"/>
      <c r="D46" s="215" t="s">
        <v>306</v>
      </c>
      <c r="E46" s="216" t="s">
        <v>725</v>
      </c>
      <c r="F46" s="292" t="s">
        <v>422</v>
      </c>
      <c r="G46" s="239"/>
      <c r="H46" s="222">
        <v>0.18</v>
      </c>
      <c r="I46" s="222">
        <v>0.18</v>
      </c>
      <c r="J46" s="222">
        <f>AVERAGE(H46:I46)</f>
        <v>0.18</v>
      </c>
      <c r="K46" s="239"/>
      <c r="L46" s="292" t="str">
        <f>IF(INDEX(MO_SNA_IsHistoricalPeriod,,MATCH(F46,MO_Common_ColumnHeader,0)),"Actual","Estimate")</f>
        <v>Actual</v>
      </c>
      <c r="M46" s="222">
        <f ca="1">IFERROR(INDEX(INDIRECT(E46),0,MATCH(F46,MO_Common_ColumnHeader,0)),"N/A")</f>
        <v>0.18344049957321271</v>
      </c>
      <c r="N46" s="225"/>
      <c r="O46" s="219">
        <f ca="1">IF(ISNUMBER(M46),M46-J46,"N/A")</f>
        <v>3.440499573212713E-3</v>
      </c>
      <c r="P46" s="219">
        <f ca="1">IFERROR(IF(ISNUMBER(M46),(M46-J46)/ABS(J46),"N/A"),"N/A")</f>
        <v>1.9113886517848407E-2</v>
      </c>
      <c r="Q46" s="239"/>
      <c r="R46" s="220">
        <v>44114</v>
      </c>
      <c r="S46" s="324" t="s">
        <v>295</v>
      </c>
      <c r="T46" s="240"/>
    </row>
    <row r="47" spans="1:20" s="198" customFormat="1" x14ac:dyDescent="0.25">
      <c r="A47" s="208">
        <v>165</v>
      </c>
      <c r="B47" s="239"/>
      <c r="C47" s="239"/>
      <c r="D47" s="226"/>
      <c r="E47" s="239"/>
      <c r="F47" s="239"/>
      <c r="G47" s="239"/>
      <c r="H47" s="239"/>
      <c r="I47" s="239"/>
      <c r="J47" s="239"/>
      <c r="K47" s="239"/>
      <c r="L47" s="239"/>
      <c r="M47" s="239"/>
      <c r="N47" s="239"/>
      <c r="O47" s="226"/>
      <c r="P47" s="226"/>
      <c r="Q47" s="239"/>
      <c r="R47" s="239"/>
      <c r="S47" s="364"/>
      <c r="T47" s="239"/>
    </row>
    <row r="48" spans="1:20" s="198" customFormat="1" x14ac:dyDescent="0.25">
      <c r="A48" s="208">
        <v>164</v>
      </c>
      <c r="B48" s="292" t="str">
        <f t="shared" ref="B48:B55" si="24">IF(INDEX(MO_SNA_IsHistoricalPeriod,,MATCH(F48,MO_Common_ColumnHeader,0)),"Historical","Forward")</f>
        <v>Historical</v>
      </c>
      <c r="C48" s="239"/>
      <c r="D48" s="215" t="str">
        <f ca="1">INDEX(INDIRECT(E48),0,COLUMN(MO_Common_Column_A))</f>
        <v>Net Revenue</v>
      </c>
      <c r="E48" s="216" t="s">
        <v>293</v>
      </c>
      <c r="F48" s="292" t="s">
        <v>565</v>
      </c>
      <c r="G48" s="239"/>
      <c r="H48" s="217">
        <v>6572</v>
      </c>
      <c r="I48" s="217">
        <v>6572</v>
      </c>
      <c r="J48" s="217">
        <f t="shared" ref="J48:J55" si="25">AVERAGE(H48:I48)</f>
        <v>6572</v>
      </c>
      <c r="K48" s="239"/>
      <c r="L48" s="292" t="str">
        <f t="shared" ref="L48:L55" si="26">IF(INDEX(MO_SNA_IsHistoricalPeriod,,MATCH(F48,MO_Common_ColumnHeader,0)),"Actual","Estimate")</f>
        <v>Actual</v>
      </c>
      <c r="M48" s="217">
        <f t="shared" ref="M48:M55" ca="1" si="27">IFERROR(INDEX(INDIRECT(E48),0,MATCH(F48,MO_Common_ColumnHeader,0)),"N/A")</f>
        <v>6644.4420000000018</v>
      </c>
      <c r="N48" s="239"/>
      <c r="O48" s="218">
        <f t="shared" ref="O48:O55" ca="1" si="28">IF(ISNUMBER(M48),M48-J48,"N/A")</f>
        <v>72.442000000001826</v>
      </c>
      <c r="P48" s="219">
        <f t="shared" ref="P48:P55" ca="1" si="29">IFERROR(IF(ISNUMBER(M48),(M48-J48)/ABS(J48),"N/A"),"N/A")</f>
        <v>1.1022824102252256E-2</v>
      </c>
      <c r="Q48" s="239"/>
      <c r="R48" s="220">
        <v>44114</v>
      </c>
      <c r="S48" s="324" t="s">
        <v>295</v>
      </c>
      <c r="T48" s="240"/>
    </row>
    <row r="49" spans="1:20" s="198" customFormat="1" x14ac:dyDescent="0.25">
      <c r="A49" s="208">
        <v>163</v>
      </c>
      <c r="B49" s="292" t="str">
        <f t="shared" si="24"/>
        <v>Historical</v>
      </c>
      <c r="C49" s="239"/>
      <c r="D49" s="215" t="str">
        <f ca="1">INDEX(INDIRECT(E49),0,COLUMN(MO_Common_Column_A))</f>
        <v>Y/Y Total revenue growth, %</v>
      </c>
      <c r="E49" s="216" t="s">
        <v>296</v>
      </c>
      <c r="F49" s="292" t="s">
        <v>565</v>
      </c>
      <c r="G49" s="239"/>
      <c r="H49" s="222">
        <v>0.20200000000000001</v>
      </c>
      <c r="I49" s="222">
        <v>0.20200000000000001</v>
      </c>
      <c r="J49" s="222">
        <f t="shared" si="25"/>
        <v>0.20200000000000001</v>
      </c>
      <c r="K49" s="239"/>
      <c r="L49" s="292" t="str">
        <f t="shared" si="26"/>
        <v>Actual</v>
      </c>
      <c r="M49" s="222">
        <f t="shared" ca="1" si="27"/>
        <v>0.21527612404649088</v>
      </c>
      <c r="N49" s="239"/>
      <c r="O49" s="219">
        <f t="shared" ca="1" si="28"/>
        <v>1.3276124046490867E-2</v>
      </c>
      <c r="P49" s="219">
        <f t="shared" ca="1" si="29"/>
        <v>6.5723386368766665E-2</v>
      </c>
      <c r="Q49" s="239"/>
      <c r="R49" s="220">
        <v>44114</v>
      </c>
      <c r="S49" s="324" t="s">
        <v>295</v>
      </c>
      <c r="T49" s="240"/>
    </row>
    <row r="50" spans="1:20" s="198" customFormat="1" x14ac:dyDescent="0.25">
      <c r="A50" s="208">
        <v>162</v>
      </c>
      <c r="B50" s="292" t="str">
        <f t="shared" si="24"/>
        <v>Historical</v>
      </c>
      <c r="C50" s="239"/>
      <c r="D50" s="215" t="str">
        <f ca="1">INDEX(INDIRECT(E50),0,COLUMN(MO_Common_Column_A))</f>
        <v>EBIT</v>
      </c>
      <c r="E50" s="216" t="s">
        <v>297</v>
      </c>
      <c r="F50" s="292" t="s">
        <v>565</v>
      </c>
      <c r="G50" s="239"/>
      <c r="H50" s="217">
        <v>885</v>
      </c>
      <c r="I50" s="217">
        <v>885</v>
      </c>
      <c r="J50" s="217">
        <f t="shared" si="25"/>
        <v>885</v>
      </c>
      <c r="K50" s="239"/>
      <c r="L50" s="292" t="str">
        <f t="shared" si="26"/>
        <v>Actual</v>
      </c>
      <c r="M50" s="217">
        <f t="shared" ca="1" si="27"/>
        <v>954.24200000000337</v>
      </c>
      <c r="N50" s="239"/>
      <c r="O50" s="218">
        <f t="shared" ca="1" si="28"/>
        <v>69.242000000003372</v>
      </c>
      <c r="P50" s="219">
        <f t="shared" ca="1" si="29"/>
        <v>7.8239548022602676E-2</v>
      </c>
      <c r="Q50" s="239"/>
      <c r="R50" s="220">
        <v>44114</v>
      </c>
      <c r="S50" s="324" t="s">
        <v>295</v>
      </c>
      <c r="T50" s="240"/>
    </row>
    <row r="51" spans="1:20" s="198" customFormat="1" x14ac:dyDescent="0.25">
      <c r="A51" s="208">
        <v>161</v>
      </c>
      <c r="B51" s="292" t="str">
        <f t="shared" si="24"/>
        <v>Historical</v>
      </c>
      <c r="C51" s="239"/>
      <c r="D51" s="215" t="s">
        <v>306</v>
      </c>
      <c r="E51" s="216" t="s">
        <v>725</v>
      </c>
      <c r="F51" s="292" t="s">
        <v>565</v>
      </c>
      <c r="G51" s="239"/>
      <c r="H51" s="222">
        <v>0.13500000000000001</v>
      </c>
      <c r="I51" s="222">
        <v>0.13500000000000001</v>
      </c>
      <c r="J51" s="222">
        <f t="shared" si="25"/>
        <v>0.13500000000000001</v>
      </c>
      <c r="K51" s="239"/>
      <c r="L51" s="292" t="str">
        <f t="shared" si="26"/>
        <v>Actual</v>
      </c>
      <c r="M51" s="222">
        <f t="shared" ca="1" si="27"/>
        <v>0.14361506955738393</v>
      </c>
      <c r="N51" s="225"/>
      <c r="O51" s="219">
        <f t="shared" ca="1" si="28"/>
        <v>8.6150695573839198E-3</v>
      </c>
      <c r="P51" s="219">
        <f t="shared" ca="1" si="29"/>
        <v>6.3815330054695696E-2</v>
      </c>
      <c r="Q51" s="239"/>
      <c r="R51" s="220">
        <v>44114</v>
      </c>
      <c r="S51" s="324" t="s">
        <v>295</v>
      </c>
      <c r="T51" s="240"/>
    </row>
    <row r="52" spans="1:20" s="198" customFormat="1" x14ac:dyDescent="0.25">
      <c r="A52" s="208">
        <v>160</v>
      </c>
      <c r="B52" s="292" t="str">
        <f t="shared" si="24"/>
        <v>Historical</v>
      </c>
      <c r="C52" s="239"/>
      <c r="D52" s="215" t="str">
        <f ca="1">INDEX(INDIRECT(E52),0,COLUMN(MO_Common_Column_A))</f>
        <v>Net Income to Common Shareholders</v>
      </c>
      <c r="E52" s="216" t="s">
        <v>298</v>
      </c>
      <c r="F52" s="292" t="s">
        <v>565</v>
      </c>
      <c r="G52" s="239"/>
      <c r="H52" s="217">
        <v>615</v>
      </c>
      <c r="I52" s="217">
        <v>615</v>
      </c>
      <c r="J52" s="217">
        <f t="shared" si="25"/>
        <v>615</v>
      </c>
      <c r="K52" s="239"/>
      <c r="L52" s="292" t="str">
        <f t="shared" si="26"/>
        <v>Actual</v>
      </c>
      <c r="M52" s="217">
        <f t="shared" ca="1" si="27"/>
        <v>542.15600000000336</v>
      </c>
      <c r="N52" s="239"/>
      <c r="O52" s="218">
        <f t="shared" ca="1" si="28"/>
        <v>-72.84399999999664</v>
      </c>
      <c r="P52" s="219">
        <f t="shared" ca="1" si="29"/>
        <v>-0.11844552845527909</v>
      </c>
      <c r="Q52" s="239"/>
      <c r="R52" s="220">
        <v>44114</v>
      </c>
      <c r="S52" s="324" t="s">
        <v>295</v>
      </c>
      <c r="T52" s="240"/>
    </row>
    <row r="53" spans="1:20" s="198" customFormat="1" x14ac:dyDescent="0.25">
      <c r="A53" s="208">
        <v>159</v>
      </c>
      <c r="B53" s="292" t="str">
        <f t="shared" si="24"/>
        <v>Historical</v>
      </c>
      <c r="C53" s="239"/>
      <c r="D53" s="215" t="str">
        <f ca="1">INDEX(INDIRECT(E53),0,COLUMN(MO_Common_Column_A))</f>
        <v>Earnings Per Share - WAD</v>
      </c>
      <c r="E53" s="216" t="s">
        <v>299</v>
      </c>
      <c r="F53" s="292" t="s">
        <v>565</v>
      </c>
      <c r="G53" s="239"/>
      <c r="H53" s="223">
        <v>1.35</v>
      </c>
      <c r="I53" s="223">
        <v>1.35</v>
      </c>
      <c r="J53" s="223">
        <f t="shared" si="25"/>
        <v>1.35</v>
      </c>
      <c r="K53" s="239"/>
      <c r="L53" s="292" t="str">
        <f t="shared" si="26"/>
        <v>Actual</v>
      </c>
      <c r="M53" s="223">
        <f t="shared" ca="1" si="27"/>
        <v>1.1908109900874915</v>
      </c>
      <c r="N53" s="239"/>
      <c r="O53" s="224">
        <f t="shared" ca="1" si="28"/>
        <v>-0.15918900991250862</v>
      </c>
      <c r="P53" s="219">
        <f t="shared" ca="1" si="29"/>
        <v>-0.11791778512037675</v>
      </c>
      <c r="Q53" s="239"/>
      <c r="R53" s="220">
        <v>44114</v>
      </c>
      <c r="S53" s="324" t="s">
        <v>295</v>
      </c>
      <c r="T53" s="240"/>
    </row>
    <row r="54" spans="1:20" s="198" customFormat="1" x14ac:dyDescent="0.25">
      <c r="A54" s="208">
        <v>158</v>
      </c>
      <c r="B54" s="292" t="str">
        <f t="shared" si="24"/>
        <v>Historical</v>
      </c>
      <c r="C54" s="239"/>
      <c r="D54" s="215" t="str">
        <f ca="1">INDEX(INDIRECT(E54),0,COLUMN(MO_Common_Column_A))</f>
        <v>Total Global EOP Paid Streaming Memberships, 000s</v>
      </c>
      <c r="E54" s="216" t="s">
        <v>465</v>
      </c>
      <c r="F54" s="292" t="s">
        <v>565</v>
      </c>
      <c r="G54" s="239"/>
      <c r="H54" s="397">
        <v>201150</v>
      </c>
      <c r="I54" s="397">
        <v>201150</v>
      </c>
      <c r="J54" s="397">
        <f t="shared" si="25"/>
        <v>201150</v>
      </c>
      <c r="K54" s="387"/>
      <c r="L54" s="292" t="str">
        <f t="shared" si="26"/>
        <v>Actual</v>
      </c>
      <c r="M54" s="397">
        <f t="shared" ca="1" si="27"/>
        <v>203663</v>
      </c>
      <c r="N54" s="387"/>
      <c r="O54" s="398">
        <f t="shared" ca="1" si="28"/>
        <v>2513</v>
      </c>
      <c r="P54" s="219">
        <f t="shared" ca="1" si="29"/>
        <v>1.2493164305244843E-2</v>
      </c>
      <c r="Q54" s="239"/>
      <c r="R54" s="220">
        <v>44114</v>
      </c>
      <c r="S54" s="324" t="s">
        <v>295</v>
      </c>
      <c r="T54" s="240"/>
    </row>
    <row r="55" spans="1:20" s="198" customFormat="1" x14ac:dyDescent="0.25">
      <c r="A55" s="208">
        <v>157</v>
      </c>
      <c r="B55" s="292" t="str">
        <f t="shared" si="24"/>
        <v>Historical</v>
      </c>
      <c r="C55" s="239"/>
      <c r="D55" s="215" t="str">
        <f ca="1">INDEX(INDIRECT(E55),0,COLUMN(MO_Common_Column_A))</f>
        <v>Total Paid Streaming Memberships Net Additions, 000s</v>
      </c>
      <c r="E55" s="216" t="s">
        <v>466</v>
      </c>
      <c r="F55" s="292" t="s">
        <v>565</v>
      </c>
      <c r="G55" s="239"/>
      <c r="H55" s="217">
        <v>6000</v>
      </c>
      <c r="I55" s="217">
        <v>6000</v>
      </c>
      <c r="J55" s="217">
        <f t="shared" si="25"/>
        <v>6000</v>
      </c>
      <c r="K55" s="239"/>
      <c r="L55" s="292" t="str">
        <f t="shared" si="26"/>
        <v>Actual</v>
      </c>
      <c r="M55" s="217">
        <f t="shared" ca="1" si="27"/>
        <v>8512</v>
      </c>
      <c r="N55" s="239"/>
      <c r="O55" s="218">
        <f t="shared" ca="1" si="28"/>
        <v>2512</v>
      </c>
      <c r="P55" s="219">
        <f t="shared" ca="1" si="29"/>
        <v>0.41866666666666669</v>
      </c>
      <c r="Q55" s="239"/>
      <c r="R55" s="220">
        <v>44114</v>
      </c>
      <c r="S55" s="324" t="s">
        <v>295</v>
      </c>
      <c r="T55" s="240"/>
    </row>
    <row r="56" spans="1:20" s="198" customFormat="1" x14ac:dyDescent="0.25">
      <c r="A56" s="208">
        <v>156</v>
      </c>
      <c r="B56" s="239"/>
      <c r="C56" s="239"/>
      <c r="D56" s="226"/>
      <c r="E56" s="239"/>
      <c r="F56" s="239"/>
      <c r="G56" s="239"/>
      <c r="H56" s="239"/>
      <c r="I56" s="239"/>
      <c r="J56" s="239"/>
      <c r="K56" s="239"/>
      <c r="L56" s="239"/>
      <c r="M56" s="239"/>
      <c r="N56" s="239"/>
      <c r="O56" s="226"/>
      <c r="P56" s="226"/>
      <c r="Q56" s="239"/>
      <c r="R56" s="239"/>
      <c r="S56" s="364"/>
      <c r="T56" s="239"/>
    </row>
    <row r="57" spans="1:20" s="198" customFormat="1" x14ac:dyDescent="0.25">
      <c r="A57" s="208">
        <v>155</v>
      </c>
      <c r="B57" s="292" t="str">
        <f t="shared" ref="B57:B64" si="30">IF(INDEX(MO_SNA_IsHistoricalPeriod,,MATCH(F57,MO_Common_ColumnHeader,0)),"Historical","Forward")</f>
        <v>Historical</v>
      </c>
      <c r="C57" s="239"/>
      <c r="D57" s="215" t="str">
        <f ca="1">INDEX(INDIRECT(E57),0,COLUMN(MO_Common_Column_A))</f>
        <v>Net Revenue</v>
      </c>
      <c r="E57" s="216" t="s">
        <v>293</v>
      </c>
      <c r="F57" s="292" t="s">
        <v>537</v>
      </c>
      <c r="G57" s="239"/>
      <c r="H57" s="217">
        <v>6327</v>
      </c>
      <c r="I57" s="217">
        <v>6327</v>
      </c>
      <c r="J57" s="217">
        <f t="shared" ref="J57:J64" si="31">AVERAGE(H57:I57)</f>
        <v>6327</v>
      </c>
      <c r="K57" s="239"/>
      <c r="L57" s="292" t="str">
        <f t="shared" ref="L57:L64" si="32">IF(INDEX(MO_SNA_IsHistoricalPeriod,,MATCH(F57,MO_Common_ColumnHeader,0)),"Actual","Estimate")</f>
        <v>Actual</v>
      </c>
      <c r="M57" s="217">
        <f t="shared" ref="M57:M64" ca="1" si="33">IFERROR(INDEX(INDIRECT(E57),0,MATCH(F57,MO_Common_ColumnHeader,0)),"N/A")</f>
        <v>6435.6369999999997</v>
      </c>
      <c r="N57" s="239"/>
      <c r="O57" s="218">
        <f t="shared" ref="O57:O64" ca="1" si="34">IF(ISNUMBER(M57),M57-J57,"N/A")</f>
        <v>108.63699999999972</v>
      </c>
      <c r="P57" s="219">
        <f t="shared" ref="P57:P64" ca="1" si="35">IFERROR(IF(ISNUMBER(M57),(M57-J57)/ABS(J57),"N/A"),"N/A")</f>
        <v>1.7170380907222969E-2</v>
      </c>
      <c r="Q57" s="239"/>
      <c r="R57" s="220">
        <v>44028</v>
      </c>
      <c r="S57" s="324" t="s">
        <v>295</v>
      </c>
      <c r="T57" s="240"/>
    </row>
    <row r="58" spans="1:20" s="198" customFormat="1" x14ac:dyDescent="0.25">
      <c r="A58" s="208">
        <v>154</v>
      </c>
      <c r="B58" s="292" t="str">
        <f t="shared" si="30"/>
        <v>Historical</v>
      </c>
      <c r="C58" s="239"/>
      <c r="D58" s="215" t="str">
        <f ca="1">INDEX(INDIRECT(E58),0,COLUMN(MO_Common_Column_A))</f>
        <v>Y/Y Total revenue growth, %</v>
      </c>
      <c r="E58" s="216" t="s">
        <v>296</v>
      </c>
      <c r="F58" s="292" t="s">
        <v>537</v>
      </c>
      <c r="G58" s="239"/>
      <c r="H58" s="222">
        <v>0.20599999999999999</v>
      </c>
      <c r="I58" s="222">
        <v>0.20599999999999999</v>
      </c>
      <c r="J58" s="222">
        <f t="shared" si="31"/>
        <v>0.20599999999999999</v>
      </c>
      <c r="K58" s="239"/>
      <c r="L58" s="292" t="str">
        <f t="shared" si="32"/>
        <v>Actual</v>
      </c>
      <c r="M58" s="222">
        <f t="shared" ca="1" si="33"/>
        <v>0.22702641897231679</v>
      </c>
      <c r="N58" s="239"/>
      <c r="O58" s="219">
        <f t="shared" ca="1" si="34"/>
        <v>2.1026418972316802E-2</v>
      </c>
      <c r="P58" s="219">
        <f t="shared" ca="1" si="35"/>
        <v>0.10206999501124661</v>
      </c>
      <c r="Q58" s="239"/>
      <c r="R58" s="220">
        <v>44028</v>
      </c>
      <c r="S58" s="324" t="s">
        <v>295</v>
      </c>
      <c r="T58" s="240"/>
    </row>
    <row r="59" spans="1:20" s="198" customFormat="1" x14ac:dyDescent="0.25">
      <c r="A59" s="208">
        <v>153</v>
      </c>
      <c r="B59" s="292" t="str">
        <f t="shared" si="30"/>
        <v>Historical</v>
      </c>
      <c r="C59" s="239"/>
      <c r="D59" s="215" t="str">
        <f ca="1">INDEX(INDIRECT(E59),0,COLUMN(MO_Common_Column_A))</f>
        <v>EBIT</v>
      </c>
      <c r="E59" s="216" t="s">
        <v>297</v>
      </c>
      <c r="F59" s="292" t="s">
        <v>537</v>
      </c>
      <c r="G59" s="239"/>
      <c r="H59" s="217">
        <v>1245</v>
      </c>
      <c r="I59" s="217">
        <v>1245</v>
      </c>
      <c r="J59" s="217">
        <f t="shared" si="31"/>
        <v>1245</v>
      </c>
      <c r="K59" s="239"/>
      <c r="L59" s="292" t="str">
        <f t="shared" si="32"/>
        <v>Actual</v>
      </c>
      <c r="M59" s="217">
        <f t="shared" ca="1" si="33"/>
        <v>1314.8629999999994</v>
      </c>
      <c r="N59" s="239"/>
      <c r="O59" s="218">
        <f t="shared" ca="1" si="34"/>
        <v>69.862999999999374</v>
      </c>
      <c r="P59" s="219">
        <f t="shared" ca="1" si="35"/>
        <v>5.6114859437750499E-2</v>
      </c>
      <c r="Q59" s="239"/>
      <c r="R59" s="220">
        <v>44028</v>
      </c>
      <c r="S59" s="324" t="s">
        <v>295</v>
      </c>
      <c r="T59" s="240"/>
    </row>
    <row r="60" spans="1:20" s="198" customFormat="1" x14ac:dyDescent="0.25">
      <c r="A60" s="208">
        <v>152</v>
      </c>
      <c r="B60" s="292" t="str">
        <f t="shared" si="30"/>
        <v>Historical</v>
      </c>
      <c r="C60" s="239"/>
      <c r="D60" s="215" t="s">
        <v>306</v>
      </c>
      <c r="E60" s="216" t="s">
        <v>725</v>
      </c>
      <c r="F60" s="292" t="s">
        <v>537</v>
      </c>
      <c r="G60" s="239"/>
      <c r="H60" s="222">
        <v>0.19700000000000001</v>
      </c>
      <c r="I60" s="222">
        <v>0.19700000000000001</v>
      </c>
      <c r="J60" s="222">
        <f t="shared" si="31"/>
        <v>0.19700000000000001</v>
      </c>
      <c r="K60" s="239"/>
      <c r="L60" s="292" t="str">
        <f t="shared" si="32"/>
        <v>Actual</v>
      </c>
      <c r="M60" s="222">
        <f t="shared" ca="1" si="33"/>
        <v>0.20430968993434517</v>
      </c>
      <c r="N60" s="225"/>
      <c r="O60" s="219">
        <f t="shared" ca="1" si="34"/>
        <v>7.3096899343451649E-3</v>
      </c>
      <c r="P60" s="219">
        <f t="shared" ca="1" si="35"/>
        <v>3.710502504743738E-2</v>
      </c>
      <c r="Q60" s="239"/>
      <c r="R60" s="220">
        <v>44028</v>
      </c>
      <c r="S60" s="324" t="s">
        <v>295</v>
      </c>
      <c r="T60" s="240"/>
    </row>
    <row r="61" spans="1:20" s="198" customFormat="1" x14ac:dyDescent="0.25">
      <c r="A61" s="208">
        <v>151</v>
      </c>
      <c r="B61" s="292" t="str">
        <f t="shared" si="30"/>
        <v>Historical</v>
      </c>
      <c r="C61" s="239"/>
      <c r="D61" s="215" t="str">
        <f ca="1">INDEX(INDIRECT(E61),0,COLUMN(MO_Common_Column_A))</f>
        <v>Net Income to Common Shareholders</v>
      </c>
      <c r="E61" s="216" t="s">
        <v>298</v>
      </c>
      <c r="F61" s="292" t="s">
        <v>537</v>
      </c>
      <c r="G61" s="239"/>
      <c r="H61" s="217">
        <v>954</v>
      </c>
      <c r="I61" s="217">
        <v>954</v>
      </c>
      <c r="J61" s="217">
        <f t="shared" si="31"/>
        <v>954</v>
      </c>
      <c r="K61" s="239"/>
      <c r="L61" s="292" t="str">
        <f t="shared" si="32"/>
        <v>Actual</v>
      </c>
      <c r="M61" s="217">
        <f t="shared" ca="1" si="33"/>
        <v>789.97599999999932</v>
      </c>
      <c r="N61" s="239"/>
      <c r="O61" s="218">
        <f t="shared" ca="1" si="34"/>
        <v>-164.02400000000068</v>
      </c>
      <c r="P61" s="219">
        <f t="shared" ca="1" si="35"/>
        <v>-0.17193291404612232</v>
      </c>
      <c r="Q61" s="239"/>
      <c r="R61" s="220">
        <v>44028</v>
      </c>
      <c r="S61" s="324" t="s">
        <v>295</v>
      </c>
      <c r="T61" s="240"/>
    </row>
    <row r="62" spans="1:20" s="198" customFormat="1" x14ac:dyDescent="0.25">
      <c r="A62" s="208">
        <v>150</v>
      </c>
      <c r="B62" s="292" t="str">
        <f t="shared" si="30"/>
        <v>Historical</v>
      </c>
      <c r="C62" s="239"/>
      <c r="D62" s="215" t="str">
        <f ca="1">INDEX(INDIRECT(E62),0,COLUMN(MO_Common_Column_A))</f>
        <v>Earnings Per Share - WAD</v>
      </c>
      <c r="E62" s="216" t="s">
        <v>299</v>
      </c>
      <c r="F62" s="292" t="s">
        <v>537</v>
      </c>
      <c r="G62" s="239"/>
      <c r="H62" s="223">
        <v>2.09</v>
      </c>
      <c r="I62" s="223">
        <v>2.09</v>
      </c>
      <c r="J62" s="223">
        <f t="shared" si="31"/>
        <v>2.09</v>
      </c>
      <c r="K62" s="239"/>
      <c r="L62" s="292" t="str">
        <f t="shared" si="32"/>
        <v>Actual</v>
      </c>
      <c r="M62" s="223">
        <f t="shared" ca="1" si="33"/>
        <v>1.7358752592905093</v>
      </c>
      <c r="N62" s="239"/>
      <c r="O62" s="224">
        <f t="shared" ca="1" si="34"/>
        <v>-0.35412474070949052</v>
      </c>
      <c r="P62" s="219">
        <f t="shared" ca="1" si="35"/>
        <v>-0.16943767498061749</v>
      </c>
      <c r="Q62" s="239"/>
      <c r="R62" s="220">
        <v>44028</v>
      </c>
      <c r="S62" s="324" t="s">
        <v>295</v>
      </c>
      <c r="T62" s="240"/>
    </row>
    <row r="63" spans="1:20" s="198" customFormat="1" x14ac:dyDescent="0.25">
      <c r="A63" s="208">
        <v>149</v>
      </c>
      <c r="B63" s="292" t="str">
        <f t="shared" si="30"/>
        <v>Historical</v>
      </c>
      <c r="C63" s="239"/>
      <c r="D63" s="215" t="str">
        <f ca="1">INDEX(INDIRECT(E63),0,COLUMN(MO_Common_Column_A))</f>
        <v>Total Global EOP Paid Streaming Memberships, 000s</v>
      </c>
      <c r="E63" s="216" t="s">
        <v>465</v>
      </c>
      <c r="F63" s="292" t="s">
        <v>537</v>
      </c>
      <c r="G63" s="239"/>
      <c r="H63" s="397">
        <v>195450</v>
      </c>
      <c r="I63" s="397">
        <v>195450</v>
      </c>
      <c r="J63" s="397">
        <f t="shared" si="31"/>
        <v>195450</v>
      </c>
      <c r="K63" s="387"/>
      <c r="L63" s="292" t="str">
        <f t="shared" si="32"/>
        <v>Actual</v>
      </c>
      <c r="M63" s="397">
        <f t="shared" ca="1" si="33"/>
        <v>195151</v>
      </c>
      <c r="N63" s="387"/>
      <c r="O63" s="398">
        <f t="shared" ca="1" si="34"/>
        <v>-299</v>
      </c>
      <c r="P63" s="219">
        <f t="shared" ca="1" si="35"/>
        <v>-1.5298030186748528E-3</v>
      </c>
      <c r="Q63" s="239"/>
      <c r="R63" s="220">
        <v>44028</v>
      </c>
      <c r="S63" s="324" t="s">
        <v>295</v>
      </c>
      <c r="T63" s="240"/>
    </row>
    <row r="64" spans="1:20" s="198" customFormat="1" x14ac:dyDescent="0.25">
      <c r="A64" s="208">
        <v>148</v>
      </c>
      <c r="B64" s="292" t="str">
        <f t="shared" si="30"/>
        <v>Historical</v>
      </c>
      <c r="C64" s="239"/>
      <c r="D64" s="215" t="str">
        <f ca="1">INDEX(INDIRECT(E64),0,COLUMN(MO_Common_Column_A))</f>
        <v>Total Paid Streaming Memberships Net Additions, 000s</v>
      </c>
      <c r="E64" s="216" t="s">
        <v>466</v>
      </c>
      <c r="F64" s="292" t="s">
        <v>537</v>
      </c>
      <c r="G64" s="239"/>
      <c r="H64" s="217">
        <v>2500</v>
      </c>
      <c r="I64" s="217">
        <v>2500</v>
      </c>
      <c r="J64" s="217">
        <f t="shared" si="31"/>
        <v>2500</v>
      </c>
      <c r="K64" s="239"/>
      <c r="L64" s="292" t="str">
        <f t="shared" si="32"/>
        <v>Actual</v>
      </c>
      <c r="M64" s="217">
        <f t="shared" ca="1" si="33"/>
        <v>2204</v>
      </c>
      <c r="N64" s="239"/>
      <c r="O64" s="218">
        <f t="shared" ca="1" si="34"/>
        <v>-296</v>
      </c>
      <c r="P64" s="219">
        <f t="shared" ca="1" si="35"/>
        <v>-0.11840000000000001</v>
      </c>
      <c r="Q64" s="239"/>
      <c r="R64" s="220">
        <v>44028</v>
      </c>
      <c r="S64" s="324" t="s">
        <v>295</v>
      </c>
      <c r="T64" s="240"/>
    </row>
    <row r="65" spans="1:20" s="198" customFormat="1" x14ac:dyDescent="0.25">
      <c r="A65" s="208">
        <v>147</v>
      </c>
      <c r="B65" s="239"/>
      <c r="C65" s="239"/>
      <c r="D65" s="226"/>
      <c r="E65" s="239"/>
      <c r="F65" s="239"/>
      <c r="G65" s="239"/>
      <c r="H65" s="239"/>
      <c r="I65" s="239"/>
      <c r="J65" s="239"/>
      <c r="K65" s="239"/>
      <c r="L65" s="239"/>
      <c r="M65" s="239"/>
      <c r="N65" s="239"/>
      <c r="O65" s="226"/>
      <c r="P65" s="226"/>
      <c r="Q65" s="239"/>
      <c r="R65" s="239"/>
      <c r="S65" s="364"/>
      <c r="T65" s="239"/>
    </row>
    <row r="66" spans="1:20" s="198" customFormat="1" x14ac:dyDescent="0.25">
      <c r="A66" s="208">
        <v>146</v>
      </c>
      <c r="B66" s="292" t="str">
        <f t="shared" ref="B66:B73" si="36">IF(INDEX(MO_SNA_IsHistoricalPeriod,,MATCH(F66,MO_Common_ColumnHeader,0)),"Historical","Forward")</f>
        <v>Historical</v>
      </c>
      <c r="C66" s="239"/>
      <c r="D66" s="215" t="str">
        <f ca="1">INDEX(INDIRECT(E66),0,COLUMN(MO_Common_Column_A))</f>
        <v>Net Revenue</v>
      </c>
      <c r="E66" s="216" t="s">
        <v>293</v>
      </c>
      <c r="F66" s="292" t="s">
        <v>513</v>
      </c>
      <c r="G66" s="239"/>
      <c r="H66" s="217">
        <v>6048</v>
      </c>
      <c r="I66" s="217">
        <v>6048</v>
      </c>
      <c r="J66" s="217">
        <f t="shared" ref="J66:J73" si="37">AVERAGE(H66:I66)</f>
        <v>6048</v>
      </c>
      <c r="K66" s="239"/>
      <c r="L66" s="292" t="str">
        <f t="shared" ref="L66:L73" si="38">IF(INDEX(MO_SNA_IsHistoricalPeriod,,MATCH(F66,MO_Common_ColumnHeader,0)),"Actual","Estimate")</f>
        <v>Actual</v>
      </c>
      <c r="M66" s="217">
        <f t="shared" ref="M66:M73" ca="1" si="39">IFERROR(INDEX(INDIRECT(E66),0,MATCH(F66,MO_Common_ColumnHeader,0)),"N/A")</f>
        <v>6148.2860000000001</v>
      </c>
      <c r="N66" s="239"/>
      <c r="O66" s="218">
        <f t="shared" ref="O66:O73" ca="1" si="40">IF(ISNUMBER(M66),M66-J66,"N/A")</f>
        <v>100.28600000000006</v>
      </c>
      <c r="P66" s="219">
        <f t="shared" ref="P66:P73" ca="1" si="41">IFERROR(IF(ISNUMBER(M66),(M66-J66)/ABS(J66),"N/A"),"N/A")</f>
        <v>1.6581679894179902E-2</v>
      </c>
      <c r="Q66" s="239"/>
      <c r="R66" s="220">
        <v>43942</v>
      </c>
      <c r="S66" s="324" t="s">
        <v>295</v>
      </c>
      <c r="T66" s="240"/>
    </row>
    <row r="67" spans="1:20" s="198" customFormat="1" x14ac:dyDescent="0.25">
      <c r="A67" s="208">
        <v>145</v>
      </c>
      <c r="B67" s="292" t="str">
        <f t="shared" si="36"/>
        <v>Historical</v>
      </c>
      <c r="C67" s="239"/>
      <c r="D67" s="215" t="str">
        <f ca="1">INDEX(INDIRECT(E67),0,COLUMN(MO_Common_Column_A))</f>
        <v>Y/Y Total revenue growth, %</v>
      </c>
      <c r="E67" s="216" t="s">
        <v>296</v>
      </c>
      <c r="F67" s="292" t="s">
        <v>513</v>
      </c>
      <c r="G67" s="239"/>
      <c r="H67" s="222">
        <v>0.22800000000000001</v>
      </c>
      <c r="I67" s="222">
        <v>0.22800000000000001</v>
      </c>
      <c r="J67" s="222">
        <f t="shared" si="37"/>
        <v>0.22800000000000001</v>
      </c>
      <c r="K67" s="239"/>
      <c r="L67" s="292" t="str">
        <f t="shared" si="38"/>
        <v>Actual</v>
      </c>
      <c r="M67" s="222">
        <f t="shared" ca="1" si="39"/>
        <v>0.24886068091834534</v>
      </c>
      <c r="N67" s="239"/>
      <c r="O67" s="219">
        <f t="shared" ca="1" si="40"/>
        <v>2.0860680918345337E-2</v>
      </c>
      <c r="P67" s="219">
        <f t="shared" ca="1" si="41"/>
        <v>9.1494214554146205E-2</v>
      </c>
      <c r="Q67" s="239"/>
      <c r="R67" s="220">
        <v>43942</v>
      </c>
      <c r="S67" s="324" t="s">
        <v>295</v>
      </c>
      <c r="T67" s="240"/>
    </row>
    <row r="68" spans="1:20" s="198" customFormat="1" x14ac:dyDescent="0.25">
      <c r="A68" s="208">
        <v>144</v>
      </c>
      <c r="B68" s="292" t="str">
        <f t="shared" si="36"/>
        <v>Historical</v>
      </c>
      <c r="C68" s="239"/>
      <c r="D68" s="215" t="str">
        <f ca="1">INDEX(INDIRECT(E68),0,COLUMN(MO_Common_Column_A))</f>
        <v>EBIT</v>
      </c>
      <c r="E68" s="216" t="s">
        <v>297</v>
      </c>
      <c r="F68" s="292" t="s">
        <v>513</v>
      </c>
      <c r="G68" s="239"/>
      <c r="H68" s="217">
        <v>1080</v>
      </c>
      <c r="I68" s="217">
        <v>1080</v>
      </c>
      <c r="J68" s="217">
        <f t="shared" si="37"/>
        <v>1080</v>
      </c>
      <c r="K68" s="239"/>
      <c r="L68" s="292" t="str">
        <f t="shared" si="38"/>
        <v>Actual</v>
      </c>
      <c r="M68" s="217">
        <f t="shared" ca="1" si="39"/>
        <v>1357.9280000000003</v>
      </c>
      <c r="N68" s="239"/>
      <c r="O68" s="218">
        <f t="shared" ca="1" si="40"/>
        <v>277.92800000000034</v>
      </c>
      <c r="P68" s="219">
        <f t="shared" ca="1" si="41"/>
        <v>0.25734074074074104</v>
      </c>
      <c r="Q68" s="239"/>
      <c r="R68" s="220">
        <v>43942</v>
      </c>
      <c r="S68" s="324" t="s">
        <v>295</v>
      </c>
      <c r="T68" s="240"/>
    </row>
    <row r="69" spans="1:20" s="198" customFormat="1" x14ac:dyDescent="0.25">
      <c r="A69" s="208">
        <v>143</v>
      </c>
      <c r="B69" s="292" t="str">
        <f t="shared" si="36"/>
        <v>Historical</v>
      </c>
      <c r="C69" s="239"/>
      <c r="D69" s="215" t="s">
        <v>306</v>
      </c>
      <c r="E69" s="216" t="s">
        <v>725</v>
      </c>
      <c r="F69" s="292" t="s">
        <v>513</v>
      </c>
      <c r="G69" s="239"/>
      <c r="H69" s="222">
        <v>0.17899999999999999</v>
      </c>
      <c r="I69" s="222">
        <v>0.17899999999999999</v>
      </c>
      <c r="J69" s="222">
        <f t="shared" si="37"/>
        <v>0.17899999999999999</v>
      </c>
      <c r="K69" s="239"/>
      <c r="L69" s="292" t="str">
        <f t="shared" si="38"/>
        <v>Actual</v>
      </c>
      <c r="M69" s="222">
        <f t="shared" ca="1" si="39"/>
        <v>0.22086285511116438</v>
      </c>
      <c r="N69" s="225"/>
      <c r="O69" s="219">
        <f t="shared" ca="1" si="40"/>
        <v>4.1862855111164388E-2</v>
      </c>
      <c r="P69" s="219">
        <f t="shared" ca="1" si="41"/>
        <v>0.23387069894505244</v>
      </c>
      <c r="Q69" s="239"/>
      <c r="R69" s="220">
        <v>43851</v>
      </c>
      <c r="S69" s="324" t="s">
        <v>295</v>
      </c>
      <c r="T69" s="240"/>
    </row>
    <row r="70" spans="1:20" s="198" customFormat="1" x14ac:dyDescent="0.25">
      <c r="A70" s="208">
        <v>142</v>
      </c>
      <c r="B70" s="292" t="str">
        <f t="shared" si="36"/>
        <v>Historical</v>
      </c>
      <c r="C70" s="239"/>
      <c r="D70" s="215" t="str">
        <f ca="1">INDEX(INDIRECT(E70),0,COLUMN(MO_Common_Column_A))</f>
        <v>Net Income to Common Shareholders</v>
      </c>
      <c r="E70" s="216" t="s">
        <v>298</v>
      </c>
      <c r="F70" s="292" t="s">
        <v>513</v>
      </c>
      <c r="G70" s="239"/>
      <c r="H70" s="217">
        <v>820</v>
      </c>
      <c r="I70" s="217">
        <v>820</v>
      </c>
      <c r="J70" s="217">
        <f t="shared" si="37"/>
        <v>820</v>
      </c>
      <c r="K70" s="239"/>
      <c r="L70" s="292" t="str">
        <f t="shared" si="38"/>
        <v>Actual</v>
      </c>
      <c r="M70" s="217">
        <f t="shared" ca="1" si="39"/>
        <v>720.19600000000037</v>
      </c>
      <c r="N70" s="239"/>
      <c r="O70" s="218">
        <f t="shared" ca="1" si="40"/>
        <v>-99.803999999999633</v>
      </c>
      <c r="P70" s="219">
        <f t="shared" ca="1" si="41"/>
        <v>-0.12171219512195078</v>
      </c>
      <c r="Q70" s="239"/>
      <c r="R70" s="220">
        <v>43942</v>
      </c>
      <c r="S70" s="324" t="s">
        <v>295</v>
      </c>
      <c r="T70" s="240"/>
    </row>
    <row r="71" spans="1:20" s="198" customFormat="1" x14ac:dyDescent="0.25">
      <c r="A71" s="208">
        <v>141</v>
      </c>
      <c r="B71" s="292" t="str">
        <f t="shared" si="36"/>
        <v>Historical</v>
      </c>
      <c r="C71" s="239"/>
      <c r="D71" s="215" t="str">
        <f ca="1">INDEX(INDIRECT(E71),0,COLUMN(MO_Common_Column_A))</f>
        <v>Earnings Per Share - WAD</v>
      </c>
      <c r="E71" s="216" t="s">
        <v>299</v>
      </c>
      <c r="F71" s="292" t="s">
        <v>513</v>
      </c>
      <c r="G71" s="239"/>
      <c r="H71" s="223">
        <v>1.81</v>
      </c>
      <c r="I71" s="223">
        <v>1.81</v>
      </c>
      <c r="J71" s="223">
        <f t="shared" si="37"/>
        <v>1.81</v>
      </c>
      <c r="K71" s="239"/>
      <c r="L71" s="292" t="str">
        <f t="shared" si="38"/>
        <v>Actual</v>
      </c>
      <c r="M71" s="223">
        <f t="shared" ca="1" si="39"/>
        <v>1.5865270021698672</v>
      </c>
      <c r="N71" s="239"/>
      <c r="O71" s="224">
        <f t="shared" ca="1" si="40"/>
        <v>-0.22347299783013286</v>
      </c>
      <c r="P71" s="219">
        <f t="shared" ca="1" si="41"/>
        <v>-0.12346574465753196</v>
      </c>
      <c r="Q71" s="239"/>
      <c r="R71" s="220">
        <v>43942</v>
      </c>
      <c r="S71" s="324" t="s">
        <v>295</v>
      </c>
      <c r="T71" s="240"/>
    </row>
    <row r="72" spans="1:20" s="198" customFormat="1" x14ac:dyDescent="0.25">
      <c r="A72" s="208">
        <v>140</v>
      </c>
      <c r="B72" s="292" t="str">
        <f t="shared" si="36"/>
        <v>Historical</v>
      </c>
      <c r="C72" s="239"/>
      <c r="D72" s="215" t="str">
        <f ca="1">INDEX(INDIRECT(E72),0,COLUMN(MO_Common_Column_A))</f>
        <v>Total Global EOP Paid Streaming Memberships, 000s</v>
      </c>
      <c r="E72" s="216" t="s">
        <v>465</v>
      </c>
      <c r="F72" s="292" t="s">
        <v>513</v>
      </c>
      <c r="G72" s="239"/>
      <c r="H72" s="397">
        <v>190360</v>
      </c>
      <c r="I72" s="397">
        <v>190360</v>
      </c>
      <c r="J72" s="397">
        <f t="shared" si="37"/>
        <v>190360</v>
      </c>
      <c r="K72" s="387"/>
      <c r="L72" s="292" t="str">
        <f t="shared" si="38"/>
        <v>Actual</v>
      </c>
      <c r="M72" s="397">
        <f t="shared" ca="1" si="39"/>
        <v>192947</v>
      </c>
      <c r="N72" s="387"/>
      <c r="O72" s="398">
        <f t="shared" ca="1" si="40"/>
        <v>2587</v>
      </c>
      <c r="P72" s="219">
        <f t="shared" ca="1" si="41"/>
        <v>1.3590039924353856E-2</v>
      </c>
      <c r="Q72" s="239"/>
      <c r="R72" s="220">
        <v>43942</v>
      </c>
      <c r="S72" s="324" t="s">
        <v>295</v>
      </c>
      <c r="T72" s="240"/>
    </row>
    <row r="73" spans="1:20" s="198" customFormat="1" x14ac:dyDescent="0.25">
      <c r="A73" s="208">
        <v>139</v>
      </c>
      <c r="B73" s="292" t="str">
        <f t="shared" si="36"/>
        <v>Historical</v>
      </c>
      <c r="C73" s="239"/>
      <c r="D73" s="215" t="str">
        <f ca="1">INDEX(INDIRECT(E73),0,COLUMN(MO_Common_Column_A))</f>
        <v>Total Paid Streaming Memberships Net Additions, 000s</v>
      </c>
      <c r="E73" s="216" t="s">
        <v>466</v>
      </c>
      <c r="F73" s="292" t="s">
        <v>513</v>
      </c>
      <c r="G73" s="239"/>
      <c r="H73" s="217">
        <v>7500</v>
      </c>
      <c r="I73" s="217">
        <v>7500</v>
      </c>
      <c r="J73" s="217">
        <f t="shared" si="37"/>
        <v>7500</v>
      </c>
      <c r="K73" s="239"/>
      <c r="L73" s="292" t="str">
        <f t="shared" si="38"/>
        <v>Actual</v>
      </c>
      <c r="M73" s="217">
        <f t="shared" ca="1" si="39"/>
        <v>10091</v>
      </c>
      <c r="N73" s="239"/>
      <c r="O73" s="218">
        <f t="shared" ca="1" si="40"/>
        <v>2591</v>
      </c>
      <c r="P73" s="219">
        <f t="shared" ca="1" si="41"/>
        <v>0.34546666666666664</v>
      </c>
      <c r="Q73" s="239"/>
      <c r="R73" s="220">
        <v>43942</v>
      </c>
      <c r="S73" s="324" t="s">
        <v>295</v>
      </c>
      <c r="T73" s="240"/>
    </row>
    <row r="74" spans="1:20" s="198" customFormat="1" x14ac:dyDescent="0.25">
      <c r="A74" s="208">
        <v>138</v>
      </c>
      <c r="B74" s="239"/>
      <c r="C74" s="239"/>
      <c r="D74" s="226"/>
      <c r="E74" s="239"/>
      <c r="F74" s="239"/>
      <c r="G74" s="239"/>
      <c r="H74" s="239"/>
      <c r="I74" s="239"/>
      <c r="J74" s="239"/>
      <c r="K74" s="239"/>
      <c r="L74" s="239"/>
      <c r="M74" s="239"/>
      <c r="N74" s="239"/>
      <c r="O74" s="226"/>
      <c r="P74" s="226"/>
      <c r="Q74" s="239"/>
      <c r="R74" s="239"/>
      <c r="S74" s="364"/>
      <c r="T74" s="239"/>
    </row>
    <row r="75" spans="1:20" s="198" customFormat="1" x14ac:dyDescent="0.25">
      <c r="A75" s="208">
        <v>137</v>
      </c>
      <c r="B75" s="292" t="str">
        <f>IF(INDEX(MO_SNA_IsHistoricalPeriod,,MATCH(F75,MO_Common_ColumnHeader,0)),"Historical","Forward")</f>
        <v>Historical</v>
      </c>
      <c r="C75" s="239"/>
      <c r="D75" s="215" t="s">
        <v>306</v>
      </c>
      <c r="E75" s="216"/>
      <c r="F75" s="292" t="s">
        <v>422</v>
      </c>
      <c r="G75" s="239"/>
      <c r="H75" s="222">
        <v>0.16</v>
      </c>
      <c r="I75" s="222">
        <v>0.16</v>
      </c>
      <c r="J75" s="222">
        <f>AVERAGE(H75:I75)</f>
        <v>0.16</v>
      </c>
      <c r="K75" s="239"/>
      <c r="L75" s="292" t="str">
        <f>IF(INDEX(MO_SNA_IsHistoricalPeriod,,MATCH(F75,MO_Common_ColumnHeader,0)),"Actual","Estimate")</f>
        <v>Actual</v>
      </c>
      <c r="M75" s="222">
        <f>IFERROR(INDEX(MO_RIS_EBIT,0,MATCH(F75,MO_Common_ColumnHeader,0)),"N/A")/IFERROR(INDEX(MO_RIS_REV,0,MATCH(F75,MO_Common_ColumnHeader,0)),"N/A")</f>
        <v>0.18344049957321271</v>
      </c>
      <c r="N75" s="225"/>
      <c r="O75" s="219">
        <f>IF(ISNUMBER(M75),M75-J75,"N/A")</f>
        <v>2.3440499573212703E-2</v>
      </c>
      <c r="P75" s="219">
        <f>IFERROR(IF(ISNUMBER(M75),(M75-J75)/ABS(J75),"N/A"),"N/A")</f>
        <v>0.14650312233257939</v>
      </c>
      <c r="Q75" s="239"/>
      <c r="R75" s="220">
        <v>43851</v>
      </c>
      <c r="S75" s="324" t="s">
        <v>295</v>
      </c>
      <c r="T75" s="240"/>
    </row>
    <row r="76" spans="1:20" s="198" customFormat="1" x14ac:dyDescent="0.25">
      <c r="A76" s="208">
        <v>136</v>
      </c>
      <c r="B76" s="239"/>
      <c r="C76" s="239"/>
      <c r="D76" s="226"/>
      <c r="E76" s="239"/>
      <c r="F76" s="239"/>
      <c r="G76" s="239"/>
      <c r="H76" s="239"/>
      <c r="I76" s="239"/>
      <c r="J76" s="239"/>
      <c r="K76" s="239"/>
      <c r="L76" s="239"/>
      <c r="M76" s="239"/>
      <c r="N76" s="239"/>
      <c r="O76" s="226"/>
      <c r="P76" s="226"/>
      <c r="Q76" s="239"/>
      <c r="R76" s="239"/>
      <c r="S76" s="364"/>
      <c r="T76" s="239"/>
    </row>
    <row r="77" spans="1:20" s="198" customFormat="1" x14ac:dyDescent="0.25">
      <c r="A77" s="208">
        <v>135</v>
      </c>
      <c r="B77" s="292" t="str">
        <f t="shared" ref="B77:B83" si="42">IF(INDEX(MO_SNA_IsHistoricalPeriod,,MATCH(F77,MO_Common_ColumnHeader,0)),"Historical","Forward")</f>
        <v>Historical</v>
      </c>
      <c r="C77" s="239"/>
      <c r="D77" s="215" t="str">
        <f t="shared" ref="D77:D83" ca="1" si="43">INDEX(INDIRECT(E77),0,COLUMN(MO_Common_Column_A))</f>
        <v>Net Revenue</v>
      </c>
      <c r="E77" s="216" t="s">
        <v>293</v>
      </c>
      <c r="F77" s="292" t="s">
        <v>464</v>
      </c>
      <c r="G77" s="239"/>
      <c r="H77" s="217">
        <v>5731</v>
      </c>
      <c r="I77" s="217">
        <v>5731</v>
      </c>
      <c r="J77" s="217">
        <f t="shared" ref="J77:J83" si="44">AVERAGE(H77:I77)</f>
        <v>5731</v>
      </c>
      <c r="K77" s="239"/>
      <c r="L77" s="292" t="str">
        <f t="shared" ref="L77:L83" si="45">IF(INDEX(MO_SNA_IsHistoricalPeriod,,MATCH(F77,MO_Common_ColumnHeader,0)),"Actual","Estimate")</f>
        <v>Actual</v>
      </c>
      <c r="M77" s="217">
        <f t="shared" ref="M77:M87" ca="1" si="46">IFERROR(INDEX(INDIRECT(E77),0,MATCH(F77,MO_Common_ColumnHeader,0)),"N/A")</f>
        <v>5767.6909999999998</v>
      </c>
      <c r="N77" s="239"/>
      <c r="O77" s="218">
        <f t="shared" ref="O77:O83" ca="1" si="47">IF(ISNUMBER(M77),M77-J77,"N/A")</f>
        <v>36.690999999999804</v>
      </c>
      <c r="P77" s="219">
        <f t="shared" ref="P77:P83" ca="1" si="48">IFERROR(IF(ISNUMBER(M77),(M77-J77)/ABS(J77),"N/A"),"N/A")</f>
        <v>6.4021985691850988E-3</v>
      </c>
      <c r="Q77" s="239"/>
      <c r="R77" s="220">
        <v>43851</v>
      </c>
      <c r="S77" s="324" t="s">
        <v>295</v>
      </c>
      <c r="T77" s="240"/>
    </row>
    <row r="78" spans="1:20" s="198" customFormat="1" x14ac:dyDescent="0.25">
      <c r="A78" s="208">
        <v>134</v>
      </c>
      <c r="B78" s="292" t="str">
        <f t="shared" si="42"/>
        <v>Historical</v>
      </c>
      <c r="C78" s="239"/>
      <c r="D78" s="215" t="str">
        <f t="shared" ca="1" si="43"/>
        <v>Y/Y Total revenue growth, %</v>
      </c>
      <c r="E78" s="216" t="s">
        <v>296</v>
      </c>
      <c r="F78" s="292" t="s">
        <v>464</v>
      </c>
      <c r="G78" s="239"/>
      <c r="H78" s="222">
        <v>0.26800000000000002</v>
      </c>
      <c r="I78" s="222">
        <v>0.26800000000000002</v>
      </c>
      <c r="J78" s="222">
        <f t="shared" si="44"/>
        <v>0.26800000000000002</v>
      </c>
      <c r="K78" s="239"/>
      <c r="L78" s="292" t="str">
        <f t="shared" si="45"/>
        <v>Actual</v>
      </c>
      <c r="M78" s="222">
        <f t="shared" ca="1" si="46"/>
        <v>0.27575784252659585</v>
      </c>
      <c r="N78" s="239"/>
      <c r="O78" s="219">
        <f t="shared" ca="1" si="47"/>
        <v>7.7578425265958373E-3</v>
      </c>
      <c r="P78" s="219">
        <f t="shared" ca="1" si="48"/>
        <v>2.8947173606700884E-2</v>
      </c>
      <c r="Q78" s="239"/>
      <c r="R78" s="220">
        <v>43851</v>
      </c>
      <c r="S78" s="324" t="s">
        <v>295</v>
      </c>
      <c r="T78" s="240"/>
    </row>
    <row r="79" spans="1:20" s="198" customFormat="1" x14ac:dyDescent="0.25">
      <c r="A79" s="208">
        <v>133</v>
      </c>
      <c r="B79" s="292" t="str">
        <f t="shared" si="42"/>
        <v>Historical</v>
      </c>
      <c r="C79" s="239"/>
      <c r="D79" s="215" t="str">
        <f t="shared" ca="1" si="43"/>
        <v>EBIT</v>
      </c>
      <c r="E79" s="216" t="s">
        <v>297</v>
      </c>
      <c r="F79" s="292" t="s">
        <v>464</v>
      </c>
      <c r="G79" s="239"/>
      <c r="H79" s="217">
        <v>1033</v>
      </c>
      <c r="I79" s="217">
        <v>1033</v>
      </c>
      <c r="J79" s="217">
        <f t="shared" si="44"/>
        <v>1033</v>
      </c>
      <c r="K79" s="239"/>
      <c r="L79" s="292" t="str">
        <f t="shared" si="45"/>
        <v>Actual</v>
      </c>
      <c r="M79" s="217">
        <f t="shared" ca="1" si="46"/>
        <v>958.25599999999986</v>
      </c>
      <c r="N79" s="239"/>
      <c r="O79" s="218">
        <f t="shared" ca="1" si="47"/>
        <v>-74.744000000000142</v>
      </c>
      <c r="P79" s="219">
        <f t="shared" ca="1" si="48"/>
        <v>-7.2356243949661322E-2</v>
      </c>
      <c r="Q79" s="239"/>
      <c r="R79" s="220">
        <v>43851</v>
      </c>
      <c r="S79" s="324" t="s">
        <v>295</v>
      </c>
      <c r="T79" s="240"/>
    </row>
    <row r="80" spans="1:20" s="198" customFormat="1" x14ac:dyDescent="0.25">
      <c r="A80" s="208">
        <v>132</v>
      </c>
      <c r="B80" s="292" t="str">
        <f t="shared" si="42"/>
        <v>Historical</v>
      </c>
      <c r="C80" s="239"/>
      <c r="D80" s="215" t="str">
        <f t="shared" ca="1" si="43"/>
        <v>Net Income to Common Shareholders</v>
      </c>
      <c r="E80" s="216" t="s">
        <v>298</v>
      </c>
      <c r="F80" s="292" t="s">
        <v>464</v>
      </c>
      <c r="G80" s="239"/>
      <c r="H80" s="217">
        <v>750</v>
      </c>
      <c r="I80" s="217">
        <v>750</v>
      </c>
      <c r="J80" s="217">
        <f t="shared" si="44"/>
        <v>750</v>
      </c>
      <c r="K80" s="239"/>
      <c r="L80" s="292" t="str">
        <f t="shared" si="45"/>
        <v>Actual</v>
      </c>
      <c r="M80" s="217">
        <f t="shared" ca="1" si="46"/>
        <v>709.06699999999989</v>
      </c>
      <c r="N80" s="239"/>
      <c r="O80" s="218">
        <f t="shared" ca="1" si="47"/>
        <v>-40.933000000000106</v>
      </c>
      <c r="P80" s="219">
        <f t="shared" ca="1" si="48"/>
        <v>-5.4577333333333478E-2</v>
      </c>
      <c r="Q80" s="239"/>
      <c r="R80" s="220">
        <v>43851</v>
      </c>
      <c r="S80" s="324" t="s">
        <v>295</v>
      </c>
      <c r="T80" s="240"/>
    </row>
    <row r="81" spans="1:20" s="198" customFormat="1" x14ac:dyDescent="0.25">
      <c r="A81" s="208">
        <v>131</v>
      </c>
      <c r="B81" s="292" t="str">
        <f t="shared" si="42"/>
        <v>Historical</v>
      </c>
      <c r="C81" s="239"/>
      <c r="D81" s="215" t="str">
        <f t="shared" ca="1" si="43"/>
        <v>Earnings Per Share - WAD</v>
      </c>
      <c r="E81" s="216" t="s">
        <v>299</v>
      </c>
      <c r="F81" s="292" t="s">
        <v>464</v>
      </c>
      <c r="G81" s="239"/>
      <c r="H81" s="223">
        <v>1.66</v>
      </c>
      <c r="I81" s="223">
        <v>1.66</v>
      </c>
      <c r="J81" s="223">
        <f t="shared" si="44"/>
        <v>1.66</v>
      </c>
      <c r="K81" s="239"/>
      <c r="L81" s="292" t="str">
        <f t="shared" si="45"/>
        <v>Actual</v>
      </c>
      <c r="M81" s="223">
        <f t="shared" ca="1" si="46"/>
        <v>1.5670196731890365</v>
      </c>
      <c r="N81" s="239"/>
      <c r="O81" s="224">
        <f t="shared" ca="1" si="47"/>
        <v>-9.2980326810963465E-2</v>
      </c>
      <c r="P81" s="219">
        <f t="shared" ca="1" si="48"/>
        <v>-5.6012245066845462E-2</v>
      </c>
      <c r="Q81" s="239"/>
      <c r="R81" s="220">
        <v>43851</v>
      </c>
      <c r="S81" s="324" t="s">
        <v>295</v>
      </c>
      <c r="T81" s="240"/>
    </row>
    <row r="82" spans="1:20" s="198" customFormat="1" x14ac:dyDescent="0.25">
      <c r="A82" s="208">
        <v>130</v>
      </c>
      <c r="B82" s="292" t="str">
        <f t="shared" si="42"/>
        <v>Historical</v>
      </c>
      <c r="C82" s="239"/>
      <c r="D82" s="215" t="str">
        <f t="shared" ca="1" si="43"/>
        <v>Total Global EOP Paid Streaming Memberships, 000s</v>
      </c>
      <c r="E82" s="216" t="s">
        <v>465</v>
      </c>
      <c r="F82" s="292" t="s">
        <v>464</v>
      </c>
      <c r="G82" s="239"/>
      <c r="H82" s="397">
        <v>174090</v>
      </c>
      <c r="I82" s="397">
        <v>174090</v>
      </c>
      <c r="J82" s="397">
        <f t="shared" si="44"/>
        <v>174090</v>
      </c>
      <c r="K82" s="387"/>
      <c r="L82" s="292" t="str">
        <f t="shared" si="45"/>
        <v>Actual</v>
      </c>
      <c r="M82" s="397">
        <f t="shared" ca="1" si="46"/>
        <v>182856</v>
      </c>
      <c r="N82" s="387"/>
      <c r="O82" s="398">
        <f t="shared" ca="1" si="47"/>
        <v>8766</v>
      </c>
      <c r="P82" s="219">
        <f t="shared" ca="1" si="48"/>
        <v>5.0353265552300533E-2</v>
      </c>
      <c r="Q82" s="239"/>
      <c r="R82" s="220">
        <v>43851</v>
      </c>
      <c r="S82" s="324" t="s">
        <v>295</v>
      </c>
      <c r="T82" s="240"/>
    </row>
    <row r="83" spans="1:20" s="198" customFormat="1" x14ac:dyDescent="0.25">
      <c r="A83" s="208">
        <v>129</v>
      </c>
      <c r="B83" s="292" t="str">
        <f t="shared" si="42"/>
        <v>Historical</v>
      </c>
      <c r="C83" s="239"/>
      <c r="D83" s="215" t="str">
        <f t="shared" ca="1" si="43"/>
        <v>Total Paid Streaming Memberships Net Additions, 000s</v>
      </c>
      <c r="E83" s="216" t="s">
        <v>466</v>
      </c>
      <c r="F83" s="292" t="s">
        <v>464</v>
      </c>
      <c r="G83" s="239"/>
      <c r="H83" s="217">
        <v>7000</v>
      </c>
      <c r="I83" s="217">
        <v>7000</v>
      </c>
      <c r="J83" s="217">
        <f t="shared" si="44"/>
        <v>7000</v>
      </c>
      <c r="K83" s="239"/>
      <c r="L83" s="292" t="str">
        <f t="shared" si="45"/>
        <v>Actual</v>
      </c>
      <c r="M83" s="217">
        <f t="shared" ca="1" si="46"/>
        <v>15766</v>
      </c>
      <c r="N83" s="239"/>
      <c r="O83" s="218">
        <f t="shared" ca="1" si="47"/>
        <v>8766</v>
      </c>
      <c r="P83" s="219">
        <f t="shared" ca="1" si="48"/>
        <v>1.2522857142857142</v>
      </c>
      <c r="Q83" s="239"/>
      <c r="R83" s="220">
        <v>43851</v>
      </c>
      <c r="S83" s="324" t="s">
        <v>295</v>
      </c>
      <c r="T83" s="240"/>
    </row>
    <row r="84" spans="1:20" s="198" customFormat="1" x14ac:dyDescent="0.25">
      <c r="A84" s="208">
        <v>128</v>
      </c>
      <c r="B84" s="239"/>
      <c r="C84" s="239"/>
      <c r="D84" s="226"/>
      <c r="E84" s="239"/>
      <c r="F84" s="239"/>
      <c r="G84" s="239"/>
      <c r="H84" s="239"/>
      <c r="I84" s="239"/>
      <c r="J84" s="239"/>
      <c r="K84" s="239"/>
      <c r="L84" s="239"/>
      <c r="M84" s="239"/>
      <c r="N84" s="239"/>
      <c r="O84" s="226"/>
      <c r="P84" s="226"/>
      <c r="Q84" s="239"/>
      <c r="R84" s="239"/>
      <c r="S84" s="364"/>
      <c r="T84" s="239"/>
    </row>
    <row r="85" spans="1:20" s="198" customFormat="1" x14ac:dyDescent="0.25">
      <c r="A85" s="208">
        <v>127</v>
      </c>
      <c r="B85" s="292" t="str">
        <f>IF(INDEX(MO_SNA_IsHistoricalPeriod,,MATCH(F85,MO_Common_ColumnHeader,0)),"Historical","Forward")</f>
        <v>Historical</v>
      </c>
      <c r="C85" s="239"/>
      <c r="D85" s="215" t="s">
        <v>306</v>
      </c>
      <c r="E85" s="216" t="s">
        <v>725</v>
      </c>
      <c r="F85" s="292" t="s">
        <v>422</v>
      </c>
      <c r="G85" s="239"/>
      <c r="H85" s="222">
        <v>0.16</v>
      </c>
      <c r="I85" s="222">
        <v>0.16</v>
      </c>
      <c r="J85" s="222">
        <f>AVERAGE(H85:I85)</f>
        <v>0.16</v>
      </c>
      <c r="K85" s="239"/>
      <c r="L85" s="292" t="str">
        <f>IF(INDEX(MO_SNA_IsHistoricalPeriod,,MATCH(F85,MO_Common_ColumnHeader,0)),"Actual","Estimate")</f>
        <v>Actual</v>
      </c>
      <c r="M85" s="222">
        <f t="shared" ca="1" si="46"/>
        <v>0.18344049957321271</v>
      </c>
      <c r="N85" s="225"/>
      <c r="O85" s="219">
        <f ca="1">IF(ISNUMBER(M85),M85-J85,"N/A")</f>
        <v>2.3440499573212703E-2</v>
      </c>
      <c r="P85" s="219">
        <f ca="1">IFERROR(IF(ISNUMBER(M85),(M85-J85)/ABS(J85),"N/A"),"N/A")</f>
        <v>0.14650312233257939</v>
      </c>
      <c r="Q85" s="239"/>
      <c r="R85" s="220">
        <v>43754</v>
      </c>
      <c r="S85" s="324" t="s">
        <v>295</v>
      </c>
      <c r="T85" s="240"/>
    </row>
    <row r="86" spans="1:20" s="198" customFormat="1" x14ac:dyDescent="0.25">
      <c r="A86" s="208">
        <v>126</v>
      </c>
      <c r="B86" s="239"/>
      <c r="C86" s="239"/>
      <c r="D86" s="226"/>
      <c r="E86" s="239"/>
      <c r="F86" s="239"/>
      <c r="G86" s="239"/>
      <c r="H86" s="239"/>
      <c r="I86" s="239"/>
      <c r="J86" s="239"/>
      <c r="K86" s="239"/>
      <c r="L86" s="239"/>
      <c r="M86" s="239"/>
      <c r="N86" s="239"/>
      <c r="O86" s="226"/>
      <c r="P86" s="226"/>
      <c r="Q86" s="239"/>
      <c r="R86" s="239"/>
      <c r="S86" s="364"/>
      <c r="T86" s="239"/>
    </row>
    <row r="87" spans="1:20" s="198" customFormat="1" x14ac:dyDescent="0.25">
      <c r="A87" s="208">
        <v>125</v>
      </c>
      <c r="B87" s="292" t="str">
        <f>IF(INDEX(MO_SNA_IsHistoricalPeriod,,MATCH(F87,MO_Common_ColumnHeader,0)),"Historical","Forward")</f>
        <v>Historical</v>
      </c>
      <c r="C87" s="239"/>
      <c r="D87" s="215" t="s">
        <v>306</v>
      </c>
      <c r="E87" s="216" t="s">
        <v>725</v>
      </c>
      <c r="F87" s="292" t="s">
        <v>421</v>
      </c>
      <c r="G87" s="239"/>
      <c r="H87" s="222">
        <v>0.13</v>
      </c>
      <c r="I87" s="222">
        <v>0.13</v>
      </c>
      <c r="J87" s="222">
        <f>AVERAGE(H87:I87)</f>
        <v>0.13</v>
      </c>
      <c r="K87" s="239"/>
      <c r="L87" s="292" t="str">
        <f>IF(INDEX(MO_SNA_IsHistoricalPeriod,,MATCH(F87,MO_Common_ColumnHeader,0)),"Actual","Estimate")</f>
        <v>Actual</v>
      </c>
      <c r="M87" s="222">
        <f t="shared" ca="1" si="46"/>
        <v>0.12920203645017403</v>
      </c>
      <c r="N87" s="225"/>
      <c r="O87" s="219">
        <f ca="1">IF(ISNUMBER(M87),M87-J87,"N/A")</f>
        <v>-7.9796354982597517E-4</v>
      </c>
      <c r="P87" s="219">
        <f ca="1">IFERROR(IF(ISNUMBER(M87),(M87-J87)/ABS(J87),"N/A"),"N/A")</f>
        <v>-6.1381811525075009E-3</v>
      </c>
      <c r="Q87" s="239"/>
      <c r="R87" s="220">
        <v>43754</v>
      </c>
      <c r="S87" s="324" t="s">
        <v>295</v>
      </c>
      <c r="T87" s="240"/>
    </row>
    <row r="88" spans="1:20" s="198" customFormat="1" x14ac:dyDescent="0.25">
      <c r="A88" s="208">
        <v>124</v>
      </c>
      <c r="B88" s="239"/>
      <c r="C88" s="239"/>
      <c r="D88" s="226"/>
      <c r="E88" s="239"/>
      <c r="F88" s="239"/>
      <c r="G88" s="239"/>
      <c r="H88" s="239"/>
      <c r="I88" s="239"/>
      <c r="J88" s="239"/>
      <c r="K88" s="239"/>
      <c r="L88" s="239"/>
      <c r="M88" s="239"/>
      <c r="N88" s="239"/>
      <c r="O88" s="226"/>
      <c r="P88" s="226"/>
      <c r="Q88" s="239"/>
      <c r="R88" s="239"/>
      <c r="S88" s="364"/>
      <c r="T88" s="239"/>
    </row>
    <row r="89" spans="1:20" s="198" customFormat="1" x14ac:dyDescent="0.25">
      <c r="A89" s="208">
        <v>123</v>
      </c>
      <c r="B89" s="292" t="str">
        <f t="shared" ref="B89:B104" si="49">IF(INDEX(MO_SNA_IsHistoricalPeriod,,MATCH(F89,MO_Common_ColumnHeader,0)),"Historical","Forward")</f>
        <v>Historical</v>
      </c>
      <c r="C89" s="239"/>
      <c r="D89" s="215" t="str">
        <f t="shared" ref="D89:D94" ca="1" si="50">INDEX(INDIRECT(E89),0,COLUMN(MO_Common_Column_A))</f>
        <v>Net Revenue</v>
      </c>
      <c r="E89" s="216" t="s">
        <v>293</v>
      </c>
      <c r="F89" s="292" t="s">
        <v>412</v>
      </c>
      <c r="G89" s="239"/>
      <c r="H89" s="217">
        <v>5442</v>
      </c>
      <c r="I89" s="217">
        <v>5442</v>
      </c>
      <c r="J89" s="217">
        <f t="shared" ref="J89:J104" si="51">AVERAGE(H89:I89)</f>
        <v>5442</v>
      </c>
      <c r="K89" s="239"/>
      <c r="L89" s="292" t="str">
        <f t="shared" ref="L89:L104" si="52">IF(INDEX(MO_SNA_IsHistoricalPeriod,,MATCH(F89,MO_Common_ColumnHeader,0)),"Actual","Estimate")</f>
        <v>Actual</v>
      </c>
      <c r="M89" s="217">
        <f t="shared" ref="M89:M99" ca="1" si="53">IFERROR(INDEX(INDIRECT(E89),0,MATCH(F89,MO_Common_ColumnHeader,0)),"N/A")</f>
        <v>5467.4340000000002</v>
      </c>
      <c r="N89" s="239"/>
      <c r="O89" s="218">
        <f t="shared" ref="O89:O104" ca="1" si="54">IF(ISNUMBER(M89),M89-J89,"N/A")</f>
        <v>25.434000000000196</v>
      </c>
      <c r="P89" s="219">
        <f t="shared" ref="P89:P104" ca="1" si="55">IFERROR(IF(ISNUMBER(M89),(M89-J89)/ABS(J89),"N/A"),"N/A")</f>
        <v>4.6736493936053282E-3</v>
      </c>
      <c r="Q89" s="239"/>
      <c r="R89" s="220">
        <v>43754</v>
      </c>
      <c r="S89" s="324" t="s">
        <v>295</v>
      </c>
      <c r="T89" s="240"/>
    </row>
    <row r="90" spans="1:20" s="198" customFormat="1" x14ac:dyDescent="0.25">
      <c r="A90" s="208">
        <v>122</v>
      </c>
      <c r="B90" s="292" t="str">
        <f t="shared" si="49"/>
        <v>Historical</v>
      </c>
      <c r="C90" s="239"/>
      <c r="D90" s="215" t="str">
        <f t="shared" ca="1" si="50"/>
        <v>Y/Y Total revenue growth, %</v>
      </c>
      <c r="E90" s="216" t="s">
        <v>296</v>
      </c>
      <c r="F90" s="292" t="s">
        <v>412</v>
      </c>
      <c r="G90" s="239"/>
      <c r="H90" s="222">
        <v>0.3</v>
      </c>
      <c r="I90" s="222">
        <v>0.3</v>
      </c>
      <c r="J90" s="222">
        <f t="shared" si="51"/>
        <v>0.3</v>
      </c>
      <c r="K90" s="239"/>
      <c r="L90" s="292" t="str">
        <f t="shared" si="52"/>
        <v>Actual</v>
      </c>
      <c r="M90" s="222">
        <f t="shared" ca="1" si="53"/>
        <v>0.30586138809665808</v>
      </c>
      <c r="N90" s="239"/>
      <c r="O90" s="219">
        <f t="shared" ca="1" si="54"/>
        <v>5.8613880966580933E-3</v>
      </c>
      <c r="P90" s="219">
        <f t="shared" ca="1" si="55"/>
        <v>1.9537960322193647E-2</v>
      </c>
      <c r="Q90" s="239"/>
      <c r="R90" s="220">
        <v>43754</v>
      </c>
      <c r="S90" s="324" t="s">
        <v>295</v>
      </c>
      <c r="T90" s="240"/>
    </row>
    <row r="91" spans="1:20" s="198" customFormat="1" x14ac:dyDescent="0.25">
      <c r="A91" s="208">
        <v>121</v>
      </c>
      <c r="B91" s="292" t="str">
        <f t="shared" si="49"/>
        <v>Historical</v>
      </c>
      <c r="C91" s="239"/>
      <c r="D91" s="215" t="str">
        <f t="shared" ca="1" si="50"/>
        <v>EBIT</v>
      </c>
      <c r="E91" s="216" t="s">
        <v>297</v>
      </c>
      <c r="F91" s="292" t="s">
        <v>412</v>
      </c>
      <c r="G91" s="239"/>
      <c r="H91" s="217">
        <v>475</v>
      </c>
      <c r="I91" s="217">
        <v>475</v>
      </c>
      <c r="J91" s="217">
        <f t="shared" si="51"/>
        <v>475</v>
      </c>
      <c r="K91" s="239"/>
      <c r="L91" s="292" t="str">
        <f t="shared" si="52"/>
        <v>Actual</v>
      </c>
      <c r="M91" s="217">
        <f t="shared" ca="1" si="53"/>
        <v>458.5120000000004</v>
      </c>
      <c r="N91" s="239"/>
      <c r="O91" s="218">
        <f t="shared" ca="1" si="54"/>
        <v>-16.487999999999602</v>
      </c>
      <c r="P91" s="219">
        <f t="shared" ca="1" si="55"/>
        <v>-3.471157894736758E-2</v>
      </c>
      <c r="Q91" s="239"/>
      <c r="R91" s="220">
        <v>43754</v>
      </c>
      <c r="S91" s="324" t="s">
        <v>295</v>
      </c>
      <c r="T91" s="240"/>
    </row>
    <row r="92" spans="1:20" s="198" customFormat="1" x14ac:dyDescent="0.25">
      <c r="A92" s="208">
        <v>120</v>
      </c>
      <c r="B92" s="292" t="str">
        <f t="shared" si="49"/>
        <v>Historical</v>
      </c>
      <c r="C92" s="239"/>
      <c r="D92" s="215" t="str">
        <f t="shared" ca="1" si="50"/>
        <v>Net Income to Common Shareholders</v>
      </c>
      <c r="E92" s="216" t="s">
        <v>298</v>
      </c>
      <c r="F92" s="292" t="s">
        <v>412</v>
      </c>
      <c r="G92" s="239"/>
      <c r="H92" s="217">
        <v>232</v>
      </c>
      <c r="I92" s="217">
        <v>232</v>
      </c>
      <c r="J92" s="217">
        <f t="shared" si="51"/>
        <v>232</v>
      </c>
      <c r="K92" s="239"/>
      <c r="L92" s="292" t="str">
        <f t="shared" si="52"/>
        <v>Actual</v>
      </c>
      <c r="M92" s="217">
        <f t="shared" ca="1" si="53"/>
        <v>586.97000000000037</v>
      </c>
      <c r="N92" s="239"/>
      <c r="O92" s="218">
        <f t="shared" ca="1" si="54"/>
        <v>354.97000000000037</v>
      </c>
      <c r="P92" s="219">
        <f t="shared" ca="1" si="55"/>
        <v>1.5300431034482775</v>
      </c>
      <c r="Q92" s="239"/>
      <c r="R92" s="220">
        <v>43754</v>
      </c>
      <c r="S92" s="324" t="s">
        <v>295</v>
      </c>
      <c r="T92" s="240"/>
    </row>
    <row r="93" spans="1:20" s="198" customFormat="1" x14ac:dyDescent="0.25">
      <c r="A93" s="208">
        <v>119</v>
      </c>
      <c r="B93" s="292" t="str">
        <f t="shared" si="49"/>
        <v>Historical</v>
      </c>
      <c r="C93" s="239"/>
      <c r="D93" s="215" t="str">
        <f t="shared" ca="1" si="50"/>
        <v>Earnings Per Share - WAD</v>
      </c>
      <c r="E93" s="216" t="s">
        <v>299</v>
      </c>
      <c r="F93" s="292" t="s">
        <v>412</v>
      </c>
      <c r="G93" s="239"/>
      <c r="H93" s="223">
        <v>0.51</v>
      </c>
      <c r="I93" s="223">
        <v>0.51</v>
      </c>
      <c r="J93" s="223">
        <f t="shared" si="51"/>
        <v>0.51</v>
      </c>
      <c r="K93" s="239"/>
      <c r="L93" s="292" t="str">
        <f t="shared" si="52"/>
        <v>Actual</v>
      </c>
      <c r="M93" s="223">
        <f t="shared" ca="1" si="53"/>
        <v>1.3004273684163892</v>
      </c>
      <c r="N93" s="239"/>
      <c r="O93" s="224">
        <f t="shared" ca="1" si="54"/>
        <v>0.79042736841638916</v>
      </c>
      <c r="P93" s="219">
        <f t="shared" ca="1" si="55"/>
        <v>1.5498575851301748</v>
      </c>
      <c r="Q93" s="239"/>
      <c r="R93" s="220">
        <v>43754</v>
      </c>
      <c r="S93" s="324" t="s">
        <v>295</v>
      </c>
      <c r="T93" s="240"/>
    </row>
    <row r="94" spans="1:20" s="198" customFormat="1" x14ac:dyDescent="0.25">
      <c r="A94" s="208">
        <v>118</v>
      </c>
      <c r="B94" s="292" t="str">
        <f t="shared" si="49"/>
        <v>Historical</v>
      </c>
      <c r="C94" s="239"/>
      <c r="D94" s="215" t="str">
        <f t="shared" ca="1" si="50"/>
        <v>Domestic Streaming Revenue, mm</v>
      </c>
      <c r="E94" s="216" t="s">
        <v>300</v>
      </c>
      <c r="F94" s="292" t="s">
        <v>412</v>
      </c>
      <c r="G94" s="239"/>
      <c r="H94" s="217">
        <v>2455</v>
      </c>
      <c r="I94" s="217">
        <v>2455</v>
      </c>
      <c r="J94" s="217">
        <f t="shared" si="51"/>
        <v>2455</v>
      </c>
      <c r="K94" s="239"/>
      <c r="L94" s="292" t="str">
        <f t="shared" si="52"/>
        <v>Actual</v>
      </c>
      <c r="M94" s="217">
        <f t="shared" ca="1" si="53"/>
        <v>2457.6629999999986</v>
      </c>
      <c r="N94" s="239"/>
      <c r="O94" s="218">
        <f t="shared" ca="1" si="54"/>
        <v>2.6629999999986467</v>
      </c>
      <c r="P94" s="219">
        <f t="shared" ca="1" si="55"/>
        <v>1.0847250509159456E-3</v>
      </c>
      <c r="Q94" s="239"/>
      <c r="R94" s="220">
        <v>43754</v>
      </c>
      <c r="S94" s="324" t="s">
        <v>295</v>
      </c>
      <c r="T94" s="240"/>
    </row>
    <row r="95" spans="1:20" s="198" customFormat="1" x14ac:dyDescent="0.25">
      <c r="A95" s="208">
        <v>117</v>
      </c>
      <c r="B95" s="292" t="str">
        <f t="shared" si="49"/>
        <v>Historical</v>
      </c>
      <c r="C95" s="239"/>
      <c r="D95" s="215" t="s">
        <v>301</v>
      </c>
      <c r="E95" s="216" t="s">
        <v>302</v>
      </c>
      <c r="F95" s="292" t="s">
        <v>412</v>
      </c>
      <c r="G95" s="239"/>
      <c r="H95" s="217">
        <v>777</v>
      </c>
      <c r="I95" s="217">
        <v>777</v>
      </c>
      <c r="J95" s="217">
        <f t="shared" si="51"/>
        <v>777</v>
      </c>
      <c r="K95" s="239"/>
      <c r="L95" s="292" t="str">
        <f t="shared" si="52"/>
        <v>Actual</v>
      </c>
      <c r="M95" s="217">
        <f t="shared" ca="1" si="53"/>
        <v>756.78299999999876</v>
      </c>
      <c r="N95" s="841"/>
      <c r="O95" s="218">
        <f t="shared" ca="1" si="54"/>
        <v>-20.217000000001235</v>
      </c>
      <c r="P95" s="219">
        <f t="shared" ca="1" si="55"/>
        <v>-2.6019305019306608E-2</v>
      </c>
      <c r="Q95" s="239"/>
      <c r="R95" s="220">
        <v>43754</v>
      </c>
      <c r="S95" s="324" t="s">
        <v>295</v>
      </c>
      <c r="T95" s="240"/>
    </row>
    <row r="96" spans="1:20" s="198" customFormat="1" x14ac:dyDescent="0.25">
      <c r="A96" s="208">
        <v>116</v>
      </c>
      <c r="B96" s="292" t="str">
        <f t="shared" si="49"/>
        <v>Historical</v>
      </c>
      <c r="C96" s="239"/>
      <c r="D96" s="215" t="str">
        <f ca="1">INDEX(INDIRECT(E96),0,COLUMN(MO_Common_Column_A))</f>
        <v>Domestic Streaming Net Contribution margin, %</v>
      </c>
      <c r="E96" s="216" t="s">
        <v>419</v>
      </c>
      <c r="F96" s="292" t="s">
        <v>412</v>
      </c>
      <c r="G96" s="239"/>
      <c r="H96" s="222">
        <v>0.316</v>
      </c>
      <c r="I96" s="222">
        <v>0.316</v>
      </c>
      <c r="J96" s="222">
        <f t="shared" si="51"/>
        <v>0.316</v>
      </c>
      <c r="K96" s="239"/>
      <c r="L96" s="292" t="str">
        <f t="shared" si="52"/>
        <v>Actual</v>
      </c>
      <c r="M96" s="222">
        <f t="shared" ca="1" si="53"/>
        <v>0.30792789735614656</v>
      </c>
      <c r="N96" s="239"/>
      <c r="O96" s="219">
        <f t="shared" ca="1" si="54"/>
        <v>-8.0721026438534405E-3</v>
      </c>
      <c r="P96" s="219">
        <f t="shared" ca="1" si="55"/>
        <v>-2.5544628619789369E-2</v>
      </c>
      <c r="Q96" s="239"/>
      <c r="R96" s="220">
        <v>43754</v>
      </c>
      <c r="S96" s="324" t="s">
        <v>295</v>
      </c>
      <c r="T96" s="240"/>
    </row>
    <row r="97" spans="1:20" s="198" customFormat="1" x14ac:dyDescent="0.25">
      <c r="A97" s="208">
        <v>115</v>
      </c>
      <c r="B97" s="292" t="str">
        <f t="shared" si="49"/>
        <v>Historical</v>
      </c>
      <c r="C97" s="239"/>
      <c r="D97" s="215" t="str">
        <f ca="1">INDEX(INDIRECT(E97),0,COLUMN(MO_Common_Column_A))</f>
        <v>Domestic Paid EOP Streaming Memberships, 000s</v>
      </c>
      <c r="E97" s="216" t="s">
        <v>304</v>
      </c>
      <c r="F97" s="292" t="s">
        <v>412</v>
      </c>
      <c r="G97" s="239"/>
      <c r="H97" s="217">
        <v>61220</v>
      </c>
      <c r="I97" s="217">
        <v>61220</v>
      </c>
      <c r="J97" s="217">
        <f t="shared" si="51"/>
        <v>61220</v>
      </c>
      <c r="K97" s="239"/>
      <c r="L97" s="292" t="str">
        <f t="shared" si="52"/>
        <v>Actual</v>
      </c>
      <c r="M97" s="217">
        <f t="shared" ca="1" si="53"/>
        <v>61043</v>
      </c>
      <c r="N97" s="239"/>
      <c r="O97" s="218">
        <f t="shared" ca="1" si="54"/>
        <v>-177</v>
      </c>
      <c r="P97" s="219">
        <f t="shared" ca="1" si="55"/>
        <v>-2.8912120222149623E-3</v>
      </c>
      <c r="Q97" s="239"/>
      <c r="R97" s="220">
        <v>43754</v>
      </c>
      <c r="S97" s="324" t="s">
        <v>295</v>
      </c>
      <c r="T97" s="240"/>
    </row>
    <row r="98" spans="1:20" s="198" customFormat="1" x14ac:dyDescent="0.25">
      <c r="A98" s="208">
        <v>114</v>
      </c>
      <c r="B98" s="292" t="str">
        <f t="shared" si="49"/>
        <v>Historical</v>
      </c>
      <c r="C98" s="239"/>
      <c r="D98" s="215" t="str">
        <f ca="1">INDEX(INDIRECT(E98),0,COLUMN(MO_Common_Column_A))</f>
        <v>Net Domestic Paid Streaming Memberships Change, 000s</v>
      </c>
      <c r="E98" s="216" t="s">
        <v>305</v>
      </c>
      <c r="F98" s="292" t="s">
        <v>412</v>
      </c>
      <c r="G98" s="239"/>
      <c r="H98" s="217">
        <v>600</v>
      </c>
      <c r="I98" s="217">
        <v>600</v>
      </c>
      <c r="J98" s="217">
        <f t="shared" si="51"/>
        <v>600</v>
      </c>
      <c r="K98" s="239"/>
      <c r="L98" s="292" t="str">
        <f t="shared" si="52"/>
        <v>Actual</v>
      </c>
      <c r="M98" s="217">
        <f t="shared" ca="1" si="53"/>
        <v>423</v>
      </c>
      <c r="N98" s="239"/>
      <c r="O98" s="218">
        <f t="shared" ca="1" si="54"/>
        <v>-177</v>
      </c>
      <c r="P98" s="219">
        <f t="shared" ca="1" si="55"/>
        <v>-0.29499999999999998</v>
      </c>
      <c r="Q98" s="239"/>
      <c r="R98" s="220">
        <v>43754</v>
      </c>
      <c r="S98" s="324" t="s">
        <v>295</v>
      </c>
      <c r="T98" s="240"/>
    </row>
    <row r="99" spans="1:20" s="198" customFormat="1" x14ac:dyDescent="0.25">
      <c r="A99" s="208">
        <v>113</v>
      </c>
      <c r="B99" s="292" t="str">
        <f t="shared" si="49"/>
        <v>Historical</v>
      </c>
      <c r="C99" s="239"/>
      <c r="D99" s="215" t="s">
        <v>306</v>
      </c>
      <c r="E99" s="216" t="s">
        <v>725</v>
      </c>
      <c r="F99" s="292" t="s">
        <v>412</v>
      </c>
      <c r="G99" s="239"/>
      <c r="H99" s="222">
        <v>8.6999999999999994E-2</v>
      </c>
      <c r="I99" s="222">
        <v>8.6999999999999994E-2</v>
      </c>
      <c r="J99" s="222">
        <f t="shared" si="51"/>
        <v>8.6999999999999994E-2</v>
      </c>
      <c r="K99" s="239"/>
      <c r="L99" s="292" t="str">
        <f t="shared" si="52"/>
        <v>Actual</v>
      </c>
      <c r="M99" s="222">
        <f t="shared" ca="1" si="53"/>
        <v>8.3862374927616931E-2</v>
      </c>
      <c r="N99" s="225"/>
      <c r="O99" s="219">
        <f t="shared" ca="1" si="54"/>
        <v>-3.1376250723830629E-3</v>
      </c>
      <c r="P99" s="219">
        <f t="shared" ca="1" si="55"/>
        <v>-3.6064656004403027E-2</v>
      </c>
      <c r="Q99" s="239"/>
      <c r="R99" s="220">
        <v>43754</v>
      </c>
      <c r="S99" s="324" t="s">
        <v>295</v>
      </c>
      <c r="T99" s="240"/>
    </row>
    <row r="100" spans="1:20" s="198" customFormat="1" x14ac:dyDescent="0.25">
      <c r="A100" s="208">
        <v>112</v>
      </c>
      <c r="B100" s="292" t="str">
        <f t="shared" si="49"/>
        <v>Historical</v>
      </c>
      <c r="C100" s="239"/>
      <c r="D100" s="215" t="str">
        <f ca="1">INDEX(INDIRECT(E100),0,COLUMN(MO_Common_Column_A))</f>
        <v>International Streaming Revenue, mm</v>
      </c>
      <c r="E100" s="216" t="s">
        <v>308</v>
      </c>
      <c r="F100" s="292" t="s">
        <v>412</v>
      </c>
      <c r="G100" s="239"/>
      <c r="H100" s="217">
        <v>2918</v>
      </c>
      <c r="I100" s="217">
        <v>2918</v>
      </c>
      <c r="J100" s="217">
        <f t="shared" si="51"/>
        <v>2918</v>
      </c>
      <c r="K100" s="239"/>
      <c r="L100" s="292" t="str">
        <f t="shared" si="52"/>
        <v>Actual</v>
      </c>
      <c r="M100" s="217">
        <f ca="1">IFERROR(INDEX(INDIRECT(E100),0,MATCH(F100,MO_Common_ColumnHeader,0)),"N/A")</f>
        <v>2941.3190000000009</v>
      </c>
      <c r="N100" s="239"/>
      <c r="O100" s="218">
        <f t="shared" ca="1" si="54"/>
        <v>23.319000000000869</v>
      </c>
      <c r="P100" s="219">
        <f t="shared" ca="1" si="55"/>
        <v>7.9914324880057813E-3</v>
      </c>
      <c r="Q100" s="239"/>
      <c r="R100" s="220">
        <v>43754</v>
      </c>
      <c r="S100" s="324" t="s">
        <v>295</v>
      </c>
      <c r="T100" s="240"/>
    </row>
    <row r="101" spans="1:20" s="198" customFormat="1" x14ac:dyDescent="0.25">
      <c r="A101" s="208">
        <v>111</v>
      </c>
      <c r="B101" s="292" t="str">
        <f t="shared" si="49"/>
        <v>Historical</v>
      </c>
      <c r="C101" s="239"/>
      <c r="D101" s="215" t="s">
        <v>309</v>
      </c>
      <c r="E101" s="216" t="s">
        <v>310</v>
      </c>
      <c r="F101" s="292" t="s">
        <v>412</v>
      </c>
      <c r="G101" s="239"/>
      <c r="H101" s="217">
        <v>309</v>
      </c>
      <c r="I101" s="217">
        <v>309</v>
      </c>
      <c r="J101" s="217">
        <f t="shared" si="51"/>
        <v>309</v>
      </c>
      <c r="K101" s="239"/>
      <c r="L101" s="292" t="str">
        <f t="shared" si="52"/>
        <v>Actual</v>
      </c>
      <c r="M101" s="217">
        <f ca="1">IFERROR(INDEX(INDIRECT(E101),0,MATCH(F101,MO_Common_ColumnHeader,0)),"N/A")</f>
        <v>328.34800000000104</v>
      </c>
      <c r="N101" s="239"/>
      <c r="O101" s="218">
        <f t="shared" ca="1" si="54"/>
        <v>19.348000000001036</v>
      </c>
      <c r="P101" s="219">
        <f t="shared" ca="1" si="55"/>
        <v>6.2614886731394939E-2</v>
      </c>
      <c r="Q101" s="239"/>
      <c r="R101" s="220">
        <v>43754</v>
      </c>
      <c r="S101" s="324" t="s">
        <v>295</v>
      </c>
      <c r="T101" s="240"/>
    </row>
    <row r="102" spans="1:20" s="198" customFormat="1" x14ac:dyDescent="0.25">
      <c r="A102" s="208">
        <v>110</v>
      </c>
      <c r="B102" s="292" t="str">
        <f t="shared" si="49"/>
        <v>Historical</v>
      </c>
      <c r="C102" s="239"/>
      <c r="D102" s="215" t="str">
        <f ca="1">INDEX(INDIRECT(E102),0,COLUMN(MO_Common_Column_A))</f>
        <v>International Streaming Net Contribution margin, %</v>
      </c>
      <c r="E102" s="216" t="s">
        <v>420</v>
      </c>
      <c r="F102" s="292" t="s">
        <v>412</v>
      </c>
      <c r="G102" s="239"/>
      <c r="H102" s="222">
        <v>0.106</v>
      </c>
      <c r="I102" s="222">
        <v>0.106</v>
      </c>
      <c r="J102" s="222">
        <f t="shared" si="51"/>
        <v>0.106</v>
      </c>
      <c r="K102" s="239"/>
      <c r="L102" s="292" t="str">
        <f t="shared" si="52"/>
        <v>Actual</v>
      </c>
      <c r="M102" s="222">
        <f ca="1">IFERROR(INDEX(INDIRECT(E102),0,MATCH(F102,MO_Common_ColumnHeader,0)),"N/A")</f>
        <v>0.11163291026916868</v>
      </c>
      <c r="N102" s="225"/>
      <c r="O102" s="219">
        <f t="shared" ca="1" si="54"/>
        <v>5.6329102691686783E-3</v>
      </c>
      <c r="P102" s="219">
        <f t="shared" ca="1" si="55"/>
        <v>5.3140662916685649E-2</v>
      </c>
      <c r="Q102" s="239"/>
      <c r="R102" s="220">
        <v>43754</v>
      </c>
      <c r="S102" s="324" t="s">
        <v>295</v>
      </c>
      <c r="T102" s="240"/>
    </row>
    <row r="103" spans="1:20" s="198" customFormat="1" x14ac:dyDescent="0.25">
      <c r="A103" s="208">
        <v>109</v>
      </c>
      <c r="B103" s="292" t="str">
        <f t="shared" si="49"/>
        <v>Historical</v>
      </c>
      <c r="C103" s="239"/>
      <c r="D103" s="215" t="str">
        <f ca="1">INDEX(INDIRECT(E103),0,COLUMN(MO_Common_Column_A))</f>
        <v>International Paid EOP Streaming Memberships, 000s</v>
      </c>
      <c r="E103" s="216" t="s">
        <v>312</v>
      </c>
      <c r="F103" s="292" t="s">
        <v>412</v>
      </c>
      <c r="G103" s="239"/>
      <c r="H103" s="217">
        <v>104710</v>
      </c>
      <c r="I103" s="217">
        <v>104710</v>
      </c>
      <c r="J103" s="217">
        <f t="shared" si="51"/>
        <v>104710</v>
      </c>
      <c r="K103" s="239"/>
      <c r="L103" s="292" t="str">
        <f t="shared" si="52"/>
        <v>Actual</v>
      </c>
      <c r="M103" s="217">
        <f ca="1">IFERROR(INDEX(INDIRECT(E103),0,MATCH(F103,MO_Common_ColumnHeader,0)),"N/A")</f>
        <v>106047</v>
      </c>
      <c r="N103" s="239"/>
      <c r="O103" s="218">
        <f t="shared" ca="1" si="54"/>
        <v>1337</v>
      </c>
      <c r="P103" s="219">
        <f t="shared" ca="1" si="55"/>
        <v>1.276859898768026E-2</v>
      </c>
      <c r="Q103" s="239"/>
      <c r="R103" s="220">
        <v>43754</v>
      </c>
      <c r="S103" s="324" t="s">
        <v>295</v>
      </c>
      <c r="T103" s="240"/>
    </row>
    <row r="104" spans="1:20" s="198" customFormat="1" x14ac:dyDescent="0.25">
      <c r="A104" s="208">
        <v>108</v>
      </c>
      <c r="B104" s="292" t="str">
        <f t="shared" si="49"/>
        <v>Historical</v>
      </c>
      <c r="C104" s="239"/>
      <c r="D104" s="215" t="str">
        <f ca="1">INDEX(INDIRECT(E104),0,COLUMN(MO_Common_Column_A))</f>
        <v>Net International Paid Streaming Memberships Change, 000s</v>
      </c>
      <c r="E104" s="216" t="s">
        <v>313</v>
      </c>
      <c r="F104" s="292" t="s">
        <v>412</v>
      </c>
      <c r="G104" s="239"/>
      <c r="H104" s="217">
        <v>7000</v>
      </c>
      <c r="I104" s="217">
        <v>7000</v>
      </c>
      <c r="J104" s="217">
        <f t="shared" si="51"/>
        <v>7000</v>
      </c>
      <c r="K104" s="239"/>
      <c r="L104" s="292" t="str">
        <f t="shared" si="52"/>
        <v>Actual</v>
      </c>
      <c r="M104" s="217">
        <f ca="1">IFERROR(INDEX(INDIRECT(E104),0,MATCH(F104,MO_Common_ColumnHeader,0)),"N/A")</f>
        <v>8333</v>
      </c>
      <c r="N104" s="239"/>
      <c r="O104" s="218">
        <f t="shared" ca="1" si="54"/>
        <v>1333</v>
      </c>
      <c r="P104" s="219">
        <f t="shared" ca="1" si="55"/>
        <v>0.19042857142857142</v>
      </c>
      <c r="Q104" s="239"/>
      <c r="R104" s="220">
        <v>43754</v>
      </c>
      <c r="S104" s="324" t="s">
        <v>295</v>
      </c>
      <c r="T104" s="240"/>
    </row>
    <row r="105" spans="1:20" s="198" customFormat="1" x14ac:dyDescent="0.25">
      <c r="A105" s="208">
        <v>107</v>
      </c>
      <c r="B105" s="239"/>
      <c r="C105" s="239"/>
      <c r="D105" s="226"/>
      <c r="E105" s="239"/>
      <c r="F105" s="239"/>
      <c r="G105" s="239"/>
      <c r="H105" s="239"/>
      <c r="I105" s="239"/>
      <c r="J105" s="239"/>
      <c r="K105" s="239"/>
      <c r="L105" s="239"/>
      <c r="M105" s="239"/>
      <c r="N105" s="239"/>
      <c r="O105" s="226"/>
      <c r="P105" s="226"/>
      <c r="Q105" s="239"/>
      <c r="R105" s="239"/>
      <c r="S105" s="364"/>
      <c r="T105" s="239"/>
    </row>
    <row r="106" spans="1:20" s="198" customFormat="1" x14ac:dyDescent="0.25">
      <c r="A106" s="208">
        <v>106</v>
      </c>
      <c r="B106" s="292" t="str">
        <f t="shared" ref="B106:B121" si="56">IF(INDEX(MO_SNA_IsHistoricalPeriod,,MATCH(F106,MO_Common_ColumnHeader,0)),"Historical","Forward")</f>
        <v>Historical</v>
      </c>
      <c r="C106" s="239"/>
      <c r="D106" s="215" t="str">
        <f t="shared" ref="D106:D111" ca="1" si="57">INDEX(INDIRECT(E106),0,COLUMN(MO_Common_Column_A))</f>
        <v>Net Revenue</v>
      </c>
      <c r="E106" s="216" t="s">
        <v>293</v>
      </c>
      <c r="F106" s="292" t="s">
        <v>409</v>
      </c>
      <c r="G106" s="239"/>
      <c r="H106" s="217">
        <v>5250</v>
      </c>
      <c r="I106" s="217">
        <v>5250</v>
      </c>
      <c r="J106" s="217">
        <f t="shared" ref="J106:J121" si="58">AVERAGE(H106:I106)</f>
        <v>5250</v>
      </c>
      <c r="K106" s="239"/>
      <c r="L106" s="292" t="str">
        <f t="shared" ref="L106:L121" si="59">IF(INDEX(MO_SNA_IsHistoricalPeriod,,MATCH(F106,MO_Common_ColumnHeader,0)),"Actual","Estimate")</f>
        <v>Actual</v>
      </c>
      <c r="M106" s="217">
        <f t="shared" ref="M106:M116" ca="1" si="60">IFERROR(INDEX(INDIRECT(E106),0,MATCH(F106,MO_Common_ColumnHeader,0)),"N/A")</f>
        <v>5244.9049999999997</v>
      </c>
      <c r="N106" s="239"/>
      <c r="O106" s="218">
        <f t="shared" ref="O106:O121" ca="1" si="61">IF(ISNUMBER(M106),M106-J106,"N/A")</f>
        <v>-5.0950000000002547</v>
      </c>
      <c r="P106" s="219">
        <f t="shared" ref="P106:P121" ca="1" si="62">IFERROR(IF(ISNUMBER(M106),(M106-J106)/ABS(J106),"N/A"),"N/A")</f>
        <v>-9.7047619047623901E-4</v>
      </c>
      <c r="Q106" s="239"/>
      <c r="R106" s="220">
        <v>43663</v>
      </c>
      <c r="S106" s="324" t="s">
        <v>295</v>
      </c>
      <c r="T106" s="240"/>
    </row>
    <row r="107" spans="1:20" s="198" customFormat="1" x14ac:dyDescent="0.25">
      <c r="A107" s="208">
        <v>105</v>
      </c>
      <c r="B107" s="292" t="str">
        <f t="shared" si="56"/>
        <v>Historical</v>
      </c>
      <c r="C107" s="239"/>
      <c r="D107" s="215" t="str">
        <f t="shared" ca="1" si="57"/>
        <v>Y/Y Total revenue growth, %</v>
      </c>
      <c r="E107" s="216" t="s">
        <v>296</v>
      </c>
      <c r="F107" s="292" t="s">
        <v>409</v>
      </c>
      <c r="G107" s="239"/>
      <c r="H107" s="222">
        <v>0.313</v>
      </c>
      <c r="I107" s="222">
        <v>0.313</v>
      </c>
      <c r="J107" s="222">
        <f t="shared" si="58"/>
        <v>0.313</v>
      </c>
      <c r="K107" s="239"/>
      <c r="L107" s="292" t="str">
        <f t="shared" si="59"/>
        <v>Actual</v>
      </c>
      <c r="M107" s="222">
        <f t="shared" ca="1" si="60"/>
        <v>0.31143148902803319</v>
      </c>
      <c r="N107" s="239"/>
      <c r="O107" s="219">
        <f t="shared" ca="1" si="61"/>
        <v>-1.5685109719668078E-3</v>
      </c>
      <c r="P107" s="219">
        <f t="shared" ca="1" si="62"/>
        <v>-5.0112171628332513E-3</v>
      </c>
      <c r="Q107" s="239"/>
      <c r="R107" s="220">
        <v>43663</v>
      </c>
      <c r="S107" s="324" t="s">
        <v>295</v>
      </c>
      <c r="T107" s="240"/>
    </row>
    <row r="108" spans="1:20" s="198" customFormat="1" x14ac:dyDescent="0.25">
      <c r="A108" s="208">
        <v>104</v>
      </c>
      <c r="B108" s="292" t="str">
        <f t="shared" si="56"/>
        <v>Historical</v>
      </c>
      <c r="C108" s="239"/>
      <c r="D108" s="215" t="str">
        <f t="shared" ca="1" si="57"/>
        <v>EBIT</v>
      </c>
      <c r="E108" s="216" t="s">
        <v>297</v>
      </c>
      <c r="F108" s="292" t="s">
        <v>409</v>
      </c>
      <c r="G108" s="239"/>
      <c r="H108" s="217">
        <v>833</v>
      </c>
      <c r="I108" s="217">
        <v>833</v>
      </c>
      <c r="J108" s="217">
        <f t="shared" si="58"/>
        <v>833</v>
      </c>
      <c r="K108" s="239"/>
      <c r="L108" s="292" t="str">
        <f t="shared" si="59"/>
        <v>Actual</v>
      </c>
      <c r="M108" s="217">
        <f t="shared" ca="1" si="60"/>
        <v>980.23899999999981</v>
      </c>
      <c r="N108" s="239"/>
      <c r="O108" s="218">
        <f t="shared" ca="1" si="61"/>
        <v>147.23899999999981</v>
      </c>
      <c r="P108" s="219">
        <f t="shared" ca="1" si="62"/>
        <v>0.17675750300120024</v>
      </c>
      <c r="Q108" s="239"/>
      <c r="R108" s="220">
        <v>43663</v>
      </c>
      <c r="S108" s="324" t="s">
        <v>295</v>
      </c>
      <c r="T108" s="240"/>
    </row>
    <row r="109" spans="1:20" s="198" customFormat="1" x14ac:dyDescent="0.25">
      <c r="A109" s="208">
        <v>103</v>
      </c>
      <c r="B109" s="292" t="str">
        <f t="shared" si="56"/>
        <v>Historical</v>
      </c>
      <c r="C109" s="239"/>
      <c r="D109" s="215" t="str">
        <f t="shared" ca="1" si="57"/>
        <v>Net Income to Common Shareholders</v>
      </c>
      <c r="E109" s="216" t="s">
        <v>298</v>
      </c>
      <c r="F109" s="292" t="s">
        <v>409</v>
      </c>
      <c r="G109" s="239"/>
      <c r="H109" s="217">
        <v>470</v>
      </c>
      <c r="I109" s="217">
        <v>470</v>
      </c>
      <c r="J109" s="217">
        <f t="shared" si="58"/>
        <v>470</v>
      </c>
      <c r="K109" s="239"/>
      <c r="L109" s="292" t="str">
        <f t="shared" si="59"/>
        <v>Actual</v>
      </c>
      <c r="M109" s="217">
        <f t="shared" ca="1" si="60"/>
        <v>665.24399999999991</v>
      </c>
      <c r="N109" s="239"/>
      <c r="O109" s="218">
        <f t="shared" ca="1" si="61"/>
        <v>195.24399999999991</v>
      </c>
      <c r="P109" s="219">
        <f t="shared" ca="1" si="62"/>
        <v>0.41541276595744664</v>
      </c>
      <c r="Q109" s="239"/>
      <c r="R109" s="220">
        <v>43663</v>
      </c>
      <c r="S109" s="324" t="s">
        <v>295</v>
      </c>
      <c r="T109" s="240"/>
    </row>
    <row r="110" spans="1:20" s="198" customFormat="1" x14ac:dyDescent="0.25">
      <c r="A110" s="208">
        <v>102</v>
      </c>
      <c r="B110" s="292" t="str">
        <f t="shared" si="56"/>
        <v>Historical</v>
      </c>
      <c r="C110" s="239"/>
      <c r="D110" s="215" t="str">
        <f t="shared" ca="1" si="57"/>
        <v>Earnings Per Share - WAD</v>
      </c>
      <c r="E110" s="216" t="s">
        <v>299</v>
      </c>
      <c r="F110" s="292" t="s">
        <v>409</v>
      </c>
      <c r="G110" s="239"/>
      <c r="H110" s="223">
        <v>1.04</v>
      </c>
      <c r="I110" s="223">
        <v>1.04</v>
      </c>
      <c r="J110" s="223">
        <f t="shared" si="58"/>
        <v>1.04</v>
      </c>
      <c r="K110" s="239"/>
      <c r="L110" s="292" t="str">
        <f t="shared" si="59"/>
        <v>Actual</v>
      </c>
      <c r="M110" s="223">
        <f t="shared" ca="1" si="60"/>
        <v>1.4732389625115156</v>
      </c>
      <c r="N110" s="239"/>
      <c r="O110" s="224">
        <f t="shared" ca="1" si="61"/>
        <v>0.43323896251151561</v>
      </c>
      <c r="P110" s="219">
        <f t="shared" ca="1" si="62"/>
        <v>0.41657592549184191</v>
      </c>
      <c r="Q110" s="239"/>
      <c r="R110" s="220">
        <v>43663</v>
      </c>
      <c r="S110" s="324" t="s">
        <v>295</v>
      </c>
      <c r="T110" s="240"/>
    </row>
    <row r="111" spans="1:20" s="198" customFormat="1" x14ac:dyDescent="0.25">
      <c r="A111" s="208">
        <v>101</v>
      </c>
      <c r="B111" s="292" t="str">
        <f t="shared" si="56"/>
        <v>Historical</v>
      </c>
      <c r="C111" s="239"/>
      <c r="D111" s="215" t="str">
        <f t="shared" ca="1" si="57"/>
        <v>Domestic Streaming Revenue, mm</v>
      </c>
      <c r="E111" s="216" t="s">
        <v>300</v>
      </c>
      <c r="F111" s="292" t="s">
        <v>409</v>
      </c>
      <c r="G111" s="239"/>
      <c r="H111" s="217">
        <v>2400</v>
      </c>
      <c r="I111" s="217">
        <v>2400</v>
      </c>
      <c r="J111" s="217">
        <f t="shared" si="58"/>
        <v>2400</v>
      </c>
      <c r="K111" s="239"/>
      <c r="L111" s="292" t="str">
        <f t="shared" si="59"/>
        <v>Actual</v>
      </c>
      <c r="M111" s="217">
        <f t="shared" ca="1" si="60"/>
        <v>2412.598</v>
      </c>
      <c r="N111" s="239"/>
      <c r="O111" s="218">
        <f t="shared" ca="1" si="61"/>
        <v>12.597999999999956</v>
      </c>
      <c r="P111" s="219">
        <f t="shared" ca="1" si="62"/>
        <v>5.2491666666666485E-3</v>
      </c>
      <c r="Q111" s="239"/>
      <c r="R111" s="220">
        <v>43663</v>
      </c>
      <c r="S111" s="324" t="s">
        <v>295</v>
      </c>
      <c r="T111" s="240"/>
    </row>
    <row r="112" spans="1:20" s="198" customFormat="1" x14ac:dyDescent="0.25">
      <c r="A112" s="208">
        <v>100</v>
      </c>
      <c r="B112" s="292" t="str">
        <f t="shared" si="56"/>
        <v>Historical</v>
      </c>
      <c r="C112" s="239"/>
      <c r="D112" s="215" t="s">
        <v>301</v>
      </c>
      <c r="E112" s="216" t="s">
        <v>302</v>
      </c>
      <c r="F112" s="292" t="s">
        <v>409</v>
      </c>
      <c r="G112" s="239"/>
      <c r="H112" s="217">
        <v>923</v>
      </c>
      <c r="I112" s="217">
        <v>923</v>
      </c>
      <c r="J112" s="217">
        <f t="shared" si="58"/>
        <v>923</v>
      </c>
      <c r="K112" s="239"/>
      <c r="L112" s="292" t="str">
        <f t="shared" si="59"/>
        <v>Actual</v>
      </c>
      <c r="M112" s="217">
        <f t="shared" ca="1" si="60"/>
        <v>990.69999999999993</v>
      </c>
      <c r="N112" s="841"/>
      <c r="O112" s="218">
        <f t="shared" ca="1" si="61"/>
        <v>67.699999999999932</v>
      </c>
      <c r="P112" s="219">
        <f t="shared" ca="1" si="62"/>
        <v>7.3347778981581721E-2</v>
      </c>
      <c r="Q112" s="239"/>
      <c r="R112" s="220">
        <v>43663</v>
      </c>
      <c r="S112" s="324" t="s">
        <v>295</v>
      </c>
      <c r="T112" s="240"/>
    </row>
    <row r="113" spans="1:20" s="198" customFormat="1" x14ac:dyDescent="0.25">
      <c r="A113" s="208">
        <v>99</v>
      </c>
      <c r="B113" s="292" t="str">
        <f t="shared" si="56"/>
        <v>Historical</v>
      </c>
      <c r="C113" s="239"/>
      <c r="D113" s="215" t="s">
        <v>303</v>
      </c>
      <c r="E113" s="216"/>
      <c r="F113" s="292" t="s">
        <v>409</v>
      </c>
      <c r="G113" s="239"/>
      <c r="H113" s="222">
        <v>0.38500000000000001</v>
      </c>
      <c r="I113" s="222">
        <v>0.38500000000000001</v>
      </c>
      <c r="J113" s="222">
        <f t="shared" si="58"/>
        <v>0.38500000000000001</v>
      </c>
      <c r="K113" s="239"/>
      <c r="L113" s="292" t="str">
        <f t="shared" si="59"/>
        <v>Actual</v>
      </c>
      <c r="M113" s="222" t="str">
        <f t="shared" ca="1" si="60"/>
        <v>N/A</v>
      </c>
      <c r="N113" s="239"/>
      <c r="O113" s="219" t="str">
        <f t="shared" ca="1" si="61"/>
        <v>N/A</v>
      </c>
      <c r="P113" s="219" t="str">
        <f t="shared" ca="1" si="62"/>
        <v>N/A</v>
      </c>
      <c r="Q113" s="239"/>
      <c r="R113" s="220">
        <v>43663</v>
      </c>
      <c r="S113" s="324" t="s">
        <v>295</v>
      </c>
      <c r="T113" s="240"/>
    </row>
    <row r="114" spans="1:20" s="198" customFormat="1" x14ac:dyDescent="0.25">
      <c r="A114" s="208">
        <v>98</v>
      </c>
      <c r="B114" s="292" t="str">
        <f t="shared" si="56"/>
        <v>Historical</v>
      </c>
      <c r="C114" s="239"/>
      <c r="D114" s="215" t="str">
        <f ca="1">INDEX(INDIRECT(E114),0,COLUMN(MO_Common_Column_A))</f>
        <v>Domestic Paid EOP Streaming Memberships, 000s</v>
      </c>
      <c r="E114" s="216" t="s">
        <v>304</v>
      </c>
      <c r="F114" s="292" t="s">
        <v>409</v>
      </c>
      <c r="G114" s="239"/>
      <c r="H114" s="217">
        <v>60900</v>
      </c>
      <c r="I114" s="217">
        <v>60900</v>
      </c>
      <c r="J114" s="217">
        <f t="shared" si="58"/>
        <v>60900</v>
      </c>
      <c r="K114" s="239"/>
      <c r="L114" s="292" t="str">
        <f t="shared" si="59"/>
        <v>Actual</v>
      </c>
      <c r="M114" s="217">
        <f t="shared" ca="1" si="60"/>
        <v>60620</v>
      </c>
      <c r="N114" s="239"/>
      <c r="O114" s="218">
        <f t="shared" ca="1" si="61"/>
        <v>-280</v>
      </c>
      <c r="P114" s="219">
        <f t="shared" ca="1" si="62"/>
        <v>-4.5977011494252873E-3</v>
      </c>
      <c r="Q114" s="239"/>
      <c r="R114" s="220">
        <v>43663</v>
      </c>
      <c r="S114" s="324" t="s">
        <v>295</v>
      </c>
      <c r="T114" s="240"/>
    </row>
    <row r="115" spans="1:20" s="198" customFormat="1" x14ac:dyDescent="0.25">
      <c r="A115" s="208">
        <v>97</v>
      </c>
      <c r="B115" s="292" t="str">
        <f t="shared" si="56"/>
        <v>Historical</v>
      </c>
      <c r="C115" s="239"/>
      <c r="D115" s="215" t="str">
        <f ca="1">INDEX(INDIRECT(E115),0,COLUMN(MO_Common_Column_A))</f>
        <v>Net Domestic Paid Streaming Memberships Change, 000s</v>
      </c>
      <c r="E115" s="216" t="s">
        <v>305</v>
      </c>
      <c r="F115" s="292" t="s">
        <v>409</v>
      </c>
      <c r="G115" s="239"/>
      <c r="H115" s="217">
        <v>800</v>
      </c>
      <c r="I115" s="217">
        <v>800</v>
      </c>
      <c r="J115" s="217">
        <f t="shared" si="58"/>
        <v>800</v>
      </c>
      <c r="K115" s="239"/>
      <c r="L115" s="292" t="str">
        <f t="shared" si="59"/>
        <v>Actual</v>
      </c>
      <c r="M115" s="217">
        <f t="shared" ca="1" si="60"/>
        <v>517</v>
      </c>
      <c r="N115" s="239"/>
      <c r="O115" s="218">
        <f t="shared" ca="1" si="61"/>
        <v>-283</v>
      </c>
      <c r="P115" s="219">
        <f t="shared" ca="1" si="62"/>
        <v>-0.35375000000000001</v>
      </c>
      <c r="Q115" s="239"/>
      <c r="R115" s="220">
        <v>43663</v>
      </c>
      <c r="S115" s="324" t="s">
        <v>295</v>
      </c>
      <c r="T115" s="240"/>
    </row>
    <row r="116" spans="1:20" s="198" customFormat="1" x14ac:dyDescent="0.25">
      <c r="A116" s="208">
        <v>96</v>
      </c>
      <c r="B116" s="292" t="str">
        <f t="shared" si="56"/>
        <v>Historical</v>
      </c>
      <c r="C116" s="239"/>
      <c r="D116" s="215" t="s">
        <v>306</v>
      </c>
      <c r="E116" s="216" t="s">
        <v>725</v>
      </c>
      <c r="F116" s="292" t="s">
        <v>409</v>
      </c>
      <c r="G116" s="239"/>
      <c r="H116" s="222">
        <v>0.159</v>
      </c>
      <c r="I116" s="222">
        <v>0.159</v>
      </c>
      <c r="J116" s="222">
        <f t="shared" si="58"/>
        <v>0.159</v>
      </c>
      <c r="K116" s="239"/>
      <c r="L116" s="292" t="str">
        <f t="shared" si="59"/>
        <v>Actual</v>
      </c>
      <c r="M116" s="222">
        <f t="shared" ca="1" si="60"/>
        <v>0.18689356623237216</v>
      </c>
      <c r="N116" s="225"/>
      <c r="O116" s="219">
        <f t="shared" ca="1" si="61"/>
        <v>2.7893566232372158E-2</v>
      </c>
      <c r="P116" s="219">
        <f t="shared" ca="1" si="62"/>
        <v>0.17543123416586262</v>
      </c>
      <c r="Q116" s="239"/>
      <c r="R116" s="220">
        <v>43663</v>
      </c>
      <c r="S116" s="324" t="s">
        <v>295</v>
      </c>
      <c r="T116" s="240"/>
    </row>
    <row r="117" spans="1:20" s="198" customFormat="1" x14ac:dyDescent="0.25">
      <c r="A117" s="208">
        <v>95</v>
      </c>
      <c r="B117" s="292" t="str">
        <f t="shared" si="56"/>
        <v>Historical</v>
      </c>
      <c r="C117" s="239"/>
      <c r="D117" s="215" t="str">
        <f ca="1">INDEX(INDIRECT(E117),0,COLUMN(MO_Common_Column_A))</f>
        <v>International Streaming Revenue, mm</v>
      </c>
      <c r="E117" s="216" t="s">
        <v>308</v>
      </c>
      <c r="F117" s="292" t="s">
        <v>409</v>
      </c>
      <c r="G117" s="239"/>
      <c r="H117" s="217">
        <v>2778</v>
      </c>
      <c r="I117" s="217">
        <v>2778</v>
      </c>
      <c r="J117" s="217">
        <f t="shared" si="58"/>
        <v>2778</v>
      </c>
      <c r="K117" s="239"/>
      <c r="L117" s="292" t="str">
        <f t="shared" si="59"/>
        <v>Actual</v>
      </c>
      <c r="M117" s="217">
        <f ca="1">IFERROR(INDEX(INDIRECT(E117),0,MATCH(F117,MO_Common_ColumnHeader,0)),"N/A")</f>
        <v>2760.43</v>
      </c>
      <c r="N117" s="239"/>
      <c r="O117" s="218">
        <f t="shared" ca="1" si="61"/>
        <v>-17.570000000000164</v>
      </c>
      <c r="P117" s="219">
        <f t="shared" ca="1" si="62"/>
        <v>-6.3246940244781006E-3</v>
      </c>
      <c r="Q117" s="239"/>
      <c r="R117" s="220">
        <v>43663</v>
      </c>
      <c r="S117" s="324" t="s">
        <v>295</v>
      </c>
      <c r="T117" s="240"/>
    </row>
    <row r="118" spans="1:20" s="198" customFormat="1" x14ac:dyDescent="0.25">
      <c r="A118" s="208">
        <v>94</v>
      </c>
      <c r="B118" s="292" t="str">
        <f t="shared" si="56"/>
        <v>Historical</v>
      </c>
      <c r="C118" s="239"/>
      <c r="D118" s="215" t="s">
        <v>309</v>
      </c>
      <c r="E118" s="216" t="s">
        <v>310</v>
      </c>
      <c r="F118" s="292" t="s">
        <v>409</v>
      </c>
      <c r="G118" s="239"/>
      <c r="H118" s="217">
        <v>503</v>
      </c>
      <c r="I118" s="217">
        <v>503</v>
      </c>
      <c r="J118" s="217">
        <f t="shared" si="58"/>
        <v>503</v>
      </c>
      <c r="K118" s="239"/>
      <c r="L118" s="292" t="str">
        <f t="shared" si="59"/>
        <v>Actual</v>
      </c>
      <c r="M118" s="217">
        <f ca="1">IFERROR(INDEX(INDIRECT(E118),0,MATCH(F118,MO_Common_ColumnHeader,0)),"N/A")</f>
        <v>558.40499999999986</v>
      </c>
      <c r="N118" s="239"/>
      <c r="O118" s="218">
        <f t="shared" ca="1" si="61"/>
        <v>55.404999999999859</v>
      </c>
      <c r="P118" s="219">
        <f t="shared" ca="1" si="62"/>
        <v>0.11014910536779296</v>
      </c>
      <c r="Q118" s="239"/>
      <c r="R118" s="220">
        <v>43663</v>
      </c>
      <c r="S118" s="324" t="s">
        <v>295</v>
      </c>
      <c r="T118" s="240"/>
    </row>
    <row r="119" spans="1:20" s="198" customFormat="1" x14ac:dyDescent="0.25">
      <c r="A119" s="208">
        <v>93</v>
      </c>
      <c r="B119" s="292" t="str">
        <f t="shared" si="56"/>
        <v>Historical</v>
      </c>
      <c r="C119" s="239"/>
      <c r="D119" s="215" t="s">
        <v>311</v>
      </c>
      <c r="E119" s="216"/>
      <c r="F119" s="292" t="s">
        <v>409</v>
      </c>
      <c r="G119" s="239"/>
      <c r="H119" s="222">
        <v>0.18099999999999999</v>
      </c>
      <c r="I119" s="222">
        <v>0.18099999999999999</v>
      </c>
      <c r="J119" s="222">
        <f t="shared" si="58"/>
        <v>0.18099999999999999</v>
      </c>
      <c r="K119" s="239"/>
      <c r="L119" s="292" t="str">
        <f t="shared" si="59"/>
        <v>Actual</v>
      </c>
      <c r="M119" s="222" t="str">
        <f ca="1">IFERROR(INDEX(INDIRECT(E119),0,MATCH(F119,MO_Common_ColumnHeader,0)),"N/A")</f>
        <v>N/A</v>
      </c>
      <c r="N119" s="225"/>
      <c r="O119" s="219" t="str">
        <f t="shared" ca="1" si="61"/>
        <v>N/A</v>
      </c>
      <c r="P119" s="219" t="str">
        <f t="shared" ca="1" si="62"/>
        <v>N/A</v>
      </c>
      <c r="Q119" s="239"/>
      <c r="R119" s="220">
        <v>43663</v>
      </c>
      <c r="S119" s="324" t="s">
        <v>295</v>
      </c>
      <c r="T119" s="240"/>
    </row>
    <row r="120" spans="1:20" s="198" customFormat="1" x14ac:dyDescent="0.25">
      <c r="A120" s="208">
        <v>92</v>
      </c>
      <c r="B120" s="292" t="str">
        <f t="shared" si="56"/>
        <v>Historical</v>
      </c>
      <c r="C120" s="239"/>
      <c r="D120" s="215" t="str">
        <f ca="1">INDEX(INDIRECT(E120),0,COLUMN(MO_Common_Column_A))</f>
        <v>International Paid EOP Streaming Memberships, 000s</v>
      </c>
      <c r="E120" s="216" t="s">
        <v>312</v>
      </c>
      <c r="F120" s="292" t="s">
        <v>409</v>
      </c>
      <c r="G120" s="239"/>
      <c r="H120" s="217">
        <v>97660</v>
      </c>
      <c r="I120" s="217">
        <v>97660</v>
      </c>
      <c r="J120" s="217">
        <f t="shared" si="58"/>
        <v>97660</v>
      </c>
      <c r="K120" s="239"/>
      <c r="L120" s="292" t="str">
        <f t="shared" si="59"/>
        <v>Actual</v>
      </c>
      <c r="M120" s="217">
        <f ca="1">IFERROR(INDEX(INDIRECT(E120),0,MATCH(F120,MO_Common_ColumnHeader,0)),"N/A")</f>
        <v>97714</v>
      </c>
      <c r="N120" s="239"/>
      <c r="O120" s="218">
        <f t="shared" ca="1" si="61"/>
        <v>54</v>
      </c>
      <c r="P120" s="219">
        <f t="shared" ca="1" si="62"/>
        <v>5.5293876715134136E-4</v>
      </c>
      <c r="Q120" s="239"/>
      <c r="R120" s="220">
        <v>43663</v>
      </c>
      <c r="S120" s="324" t="s">
        <v>295</v>
      </c>
      <c r="T120" s="240"/>
    </row>
    <row r="121" spans="1:20" s="198" customFormat="1" x14ac:dyDescent="0.25">
      <c r="A121" s="208">
        <v>91</v>
      </c>
      <c r="B121" s="292" t="str">
        <f t="shared" si="56"/>
        <v>Historical</v>
      </c>
      <c r="C121" s="239"/>
      <c r="D121" s="215" t="str">
        <f ca="1">INDEX(INDIRECT(E121),0,COLUMN(MO_Common_Column_A))</f>
        <v>Net International Paid Streaming Memberships Change, 000s</v>
      </c>
      <c r="E121" s="216" t="s">
        <v>313</v>
      </c>
      <c r="F121" s="292" t="s">
        <v>409</v>
      </c>
      <c r="G121" s="239"/>
      <c r="H121" s="217">
        <v>6200</v>
      </c>
      <c r="I121" s="217">
        <v>6200</v>
      </c>
      <c r="J121" s="217">
        <f t="shared" si="58"/>
        <v>6200</v>
      </c>
      <c r="K121" s="239"/>
      <c r="L121" s="292" t="str">
        <f t="shared" si="59"/>
        <v>Actual</v>
      </c>
      <c r="M121" s="217">
        <f ca="1">IFERROR(INDEX(INDIRECT(E121),0,MATCH(F121,MO_Common_ColumnHeader,0)),"N/A")</f>
        <v>6255</v>
      </c>
      <c r="N121" s="239"/>
      <c r="O121" s="218">
        <f t="shared" ca="1" si="61"/>
        <v>55</v>
      </c>
      <c r="P121" s="219">
        <f t="shared" ca="1" si="62"/>
        <v>8.870967741935484E-3</v>
      </c>
      <c r="Q121" s="239"/>
      <c r="R121" s="220">
        <v>43663</v>
      </c>
      <c r="S121" s="324" t="s">
        <v>295</v>
      </c>
      <c r="T121" s="240"/>
    </row>
    <row r="122" spans="1:20" s="198" customFormat="1" x14ac:dyDescent="0.25">
      <c r="A122" s="208">
        <v>90</v>
      </c>
      <c r="B122" s="239"/>
      <c r="C122" s="239"/>
      <c r="D122" s="226"/>
      <c r="E122" s="239"/>
      <c r="F122" s="239"/>
      <c r="G122" s="239"/>
      <c r="H122" s="239"/>
      <c r="I122" s="239"/>
      <c r="J122" s="239"/>
      <c r="K122" s="239"/>
      <c r="L122" s="239"/>
      <c r="M122" s="239"/>
      <c r="N122" s="239"/>
      <c r="O122" s="226"/>
      <c r="P122" s="226"/>
      <c r="Q122" s="239"/>
      <c r="R122" s="239"/>
      <c r="S122" s="364"/>
      <c r="T122" s="239"/>
    </row>
    <row r="123" spans="1:20" s="198" customFormat="1" x14ac:dyDescent="0.25">
      <c r="A123" s="208">
        <v>89</v>
      </c>
      <c r="B123" s="292" t="str">
        <f t="shared" ref="B123:B139" si="63">IF(INDEX(MO_SNA_IsHistoricalPeriod,,MATCH(F123,MO_Common_ColumnHeader,0)),"Historical","Forward")</f>
        <v>Historical</v>
      </c>
      <c r="C123" s="239"/>
      <c r="D123" s="215" t="str">
        <f t="shared" ref="D123:D128" ca="1" si="64">INDEX(INDIRECT(E123),0,COLUMN(MO_Common_Column_A))</f>
        <v>Net Revenue</v>
      </c>
      <c r="E123" s="216" t="s">
        <v>293</v>
      </c>
      <c r="F123" s="292" t="s">
        <v>294</v>
      </c>
      <c r="G123" s="239"/>
      <c r="H123" s="217">
        <v>4928</v>
      </c>
      <c r="I123" s="217">
        <v>4928</v>
      </c>
      <c r="J123" s="217">
        <f t="shared" ref="J123:J139" si="65">AVERAGE(H123:I123)</f>
        <v>4928</v>
      </c>
      <c r="K123" s="239"/>
      <c r="L123" s="292" t="str">
        <f t="shared" ref="L123:L139" si="66">IF(INDEX(MO_SNA_IsHistoricalPeriod,,MATCH(F123,MO_Common_ColumnHeader,0)),"Actual","Estimate")</f>
        <v>Actual</v>
      </c>
      <c r="M123" s="217">
        <f t="shared" ref="M123:M139" ca="1" si="67">IFERROR(INDEX(INDIRECT(E123),0,MATCH(F123,MO_Common_ColumnHeader,0)),"N/A")</f>
        <v>4923.116</v>
      </c>
      <c r="N123" s="239"/>
      <c r="O123" s="218">
        <f t="shared" ref="O123:O139" ca="1" si="68">IF(ISNUMBER(M123),M123-J123,"N/A")</f>
        <v>-4.8840000000000146</v>
      </c>
      <c r="P123" s="219">
        <f t="shared" ref="P123:P139" ca="1" si="69">IFERROR(IF(ISNUMBER(M123),(M123-J123)/ABS(J123),"N/A"),"N/A")</f>
        <v>-9.9107142857143143E-4</v>
      </c>
      <c r="Q123" s="239"/>
      <c r="R123" s="220">
        <v>43571</v>
      </c>
      <c r="S123" s="221" t="s">
        <v>295</v>
      </c>
      <c r="T123" s="240"/>
    </row>
    <row r="124" spans="1:20" s="198" customFormat="1" x14ac:dyDescent="0.25">
      <c r="A124" s="208">
        <v>88</v>
      </c>
      <c r="B124" s="292" t="str">
        <f t="shared" si="63"/>
        <v>Historical</v>
      </c>
      <c r="C124" s="239"/>
      <c r="D124" s="215" t="str">
        <f t="shared" ca="1" si="64"/>
        <v>Y/Y Total revenue growth, %</v>
      </c>
      <c r="E124" s="216" t="s">
        <v>296</v>
      </c>
      <c r="F124" s="292" t="s">
        <v>294</v>
      </c>
      <c r="G124" s="239"/>
      <c r="H124" s="222">
        <v>0.26100000000000001</v>
      </c>
      <c r="I124" s="222">
        <v>0.26100000000000001</v>
      </c>
      <c r="J124" s="222">
        <f t="shared" si="65"/>
        <v>0.26100000000000001</v>
      </c>
      <c r="K124" s="239"/>
      <c r="L124" s="292" t="str">
        <f t="shared" si="66"/>
        <v>Actual</v>
      </c>
      <c r="M124" s="222">
        <f t="shared" ca="1" si="67"/>
        <v>0.25998868775385375</v>
      </c>
      <c r="N124" s="239"/>
      <c r="O124" s="219">
        <f t="shared" ca="1" si="68"/>
        <v>-1.0113122461462565E-3</v>
      </c>
      <c r="P124" s="219">
        <f t="shared" ca="1" si="69"/>
        <v>-3.8747595637787604E-3</v>
      </c>
      <c r="Q124" s="239"/>
      <c r="R124" s="220">
        <v>43571</v>
      </c>
      <c r="S124" s="221" t="s">
        <v>295</v>
      </c>
      <c r="T124" s="240"/>
    </row>
    <row r="125" spans="1:20" s="198" customFormat="1" x14ac:dyDescent="0.25">
      <c r="A125" s="208">
        <v>87</v>
      </c>
      <c r="B125" s="292" t="str">
        <f t="shared" si="63"/>
        <v>Historical</v>
      </c>
      <c r="C125" s="239"/>
      <c r="D125" s="215" t="str">
        <f t="shared" ca="1" si="64"/>
        <v>EBIT</v>
      </c>
      <c r="E125" s="216" t="s">
        <v>297</v>
      </c>
      <c r="F125" s="292" t="s">
        <v>294</v>
      </c>
      <c r="G125" s="239"/>
      <c r="H125" s="217">
        <v>616</v>
      </c>
      <c r="I125" s="217">
        <v>616</v>
      </c>
      <c r="J125" s="217">
        <f t="shared" si="65"/>
        <v>616</v>
      </c>
      <c r="K125" s="239"/>
      <c r="L125" s="292" t="str">
        <f t="shared" si="66"/>
        <v>Actual</v>
      </c>
      <c r="M125" s="217">
        <f t="shared" ca="1" si="67"/>
        <v>706.41899999999987</v>
      </c>
      <c r="N125" s="239"/>
      <c r="O125" s="218">
        <f t="shared" ca="1" si="68"/>
        <v>90.418999999999869</v>
      </c>
      <c r="P125" s="219">
        <f t="shared" ca="1" si="69"/>
        <v>0.1467840909090907</v>
      </c>
      <c r="Q125" s="239"/>
      <c r="R125" s="220">
        <v>43571</v>
      </c>
      <c r="S125" s="221" t="s">
        <v>295</v>
      </c>
      <c r="T125" s="240"/>
    </row>
    <row r="126" spans="1:20" s="198" customFormat="1" x14ac:dyDescent="0.25">
      <c r="A126" s="208">
        <v>86</v>
      </c>
      <c r="B126" s="292" t="str">
        <f t="shared" si="63"/>
        <v>Historical</v>
      </c>
      <c r="C126" s="239"/>
      <c r="D126" s="215" t="str">
        <f t="shared" ca="1" si="64"/>
        <v>Net Income to Common Shareholders</v>
      </c>
      <c r="E126" s="216" t="s">
        <v>298</v>
      </c>
      <c r="F126" s="292" t="s">
        <v>294</v>
      </c>
      <c r="G126" s="239"/>
      <c r="H126" s="217">
        <v>249</v>
      </c>
      <c r="I126" s="217">
        <v>249</v>
      </c>
      <c r="J126" s="217">
        <f t="shared" si="65"/>
        <v>249</v>
      </c>
      <c r="K126" s="239"/>
      <c r="L126" s="292" t="str">
        <f t="shared" si="66"/>
        <v>Actual</v>
      </c>
      <c r="M126" s="217">
        <f t="shared" ca="1" si="67"/>
        <v>270.64999999999986</v>
      </c>
      <c r="N126" s="239"/>
      <c r="O126" s="218">
        <f t="shared" ca="1" si="68"/>
        <v>21.649999999999864</v>
      </c>
      <c r="P126" s="219">
        <f t="shared" ca="1" si="69"/>
        <v>8.6947791164658089E-2</v>
      </c>
      <c r="Q126" s="239"/>
      <c r="R126" s="220">
        <v>43571</v>
      </c>
      <c r="S126" s="221" t="s">
        <v>295</v>
      </c>
      <c r="T126" s="240"/>
    </row>
    <row r="127" spans="1:20" s="198" customFormat="1" x14ac:dyDescent="0.25">
      <c r="A127" s="208">
        <v>85</v>
      </c>
      <c r="B127" s="292" t="str">
        <f t="shared" si="63"/>
        <v>Historical</v>
      </c>
      <c r="C127" s="239"/>
      <c r="D127" s="215" t="str">
        <f t="shared" ca="1" si="64"/>
        <v>Earnings Per Share - WAD</v>
      </c>
      <c r="E127" s="216" t="s">
        <v>299</v>
      </c>
      <c r="F127" s="292" t="s">
        <v>294</v>
      </c>
      <c r="G127" s="239"/>
      <c r="H127" s="223">
        <v>0.55000000000000004</v>
      </c>
      <c r="I127" s="223">
        <v>0.55000000000000004</v>
      </c>
      <c r="J127" s="223">
        <f t="shared" si="65"/>
        <v>0.55000000000000004</v>
      </c>
      <c r="K127" s="239"/>
      <c r="L127" s="292" t="str">
        <f t="shared" si="66"/>
        <v>Actual</v>
      </c>
      <c r="M127" s="223">
        <f t="shared" ca="1" si="67"/>
        <v>0.59852497263348747</v>
      </c>
      <c r="N127" s="239"/>
      <c r="O127" s="224">
        <f t="shared" ca="1" si="68"/>
        <v>4.8524972633487429E-2</v>
      </c>
      <c r="P127" s="219">
        <f t="shared" ca="1" si="69"/>
        <v>8.8227222969977134E-2</v>
      </c>
      <c r="Q127" s="239"/>
      <c r="R127" s="220">
        <v>43571</v>
      </c>
      <c r="S127" s="221" t="s">
        <v>295</v>
      </c>
      <c r="T127" s="240"/>
    </row>
    <row r="128" spans="1:20" s="198" customFormat="1" x14ac:dyDescent="0.25">
      <c r="A128" s="208">
        <v>84</v>
      </c>
      <c r="B128" s="292" t="str">
        <f t="shared" si="63"/>
        <v>Historical</v>
      </c>
      <c r="C128" s="239"/>
      <c r="D128" s="215" t="str">
        <f t="shared" ca="1" si="64"/>
        <v>Domestic Streaming Revenue, mm</v>
      </c>
      <c r="E128" s="216" t="s">
        <v>300</v>
      </c>
      <c r="F128" s="292" t="s">
        <v>294</v>
      </c>
      <c r="G128" s="239"/>
      <c r="H128" s="217">
        <v>2277</v>
      </c>
      <c r="I128" s="217">
        <v>2277</v>
      </c>
      <c r="J128" s="217">
        <f t="shared" si="65"/>
        <v>2277</v>
      </c>
      <c r="K128" s="239"/>
      <c r="L128" s="292" t="str">
        <f t="shared" si="66"/>
        <v>Actual</v>
      </c>
      <c r="M128" s="217">
        <f t="shared" ca="1" si="67"/>
        <v>2299.1889999999999</v>
      </c>
      <c r="N128" s="239"/>
      <c r="O128" s="218">
        <f t="shared" ca="1" si="68"/>
        <v>22.188999999999851</v>
      </c>
      <c r="P128" s="219">
        <f t="shared" ca="1" si="69"/>
        <v>9.7448397013613752E-3</v>
      </c>
      <c r="Q128" s="239"/>
      <c r="R128" s="220">
        <v>43571</v>
      </c>
      <c r="S128" s="221" t="s">
        <v>295</v>
      </c>
      <c r="T128" s="240"/>
    </row>
    <row r="129" spans="1:20" s="198" customFormat="1" x14ac:dyDescent="0.25">
      <c r="A129" s="208">
        <v>83</v>
      </c>
      <c r="B129" s="292" t="str">
        <f t="shared" si="63"/>
        <v>Historical</v>
      </c>
      <c r="C129" s="239"/>
      <c r="D129" s="215" t="s">
        <v>301</v>
      </c>
      <c r="E129" s="216" t="s">
        <v>302</v>
      </c>
      <c r="F129" s="292" t="s">
        <v>294</v>
      </c>
      <c r="G129" s="239"/>
      <c r="H129" s="217">
        <v>795</v>
      </c>
      <c r="I129" s="217">
        <v>795</v>
      </c>
      <c r="J129" s="217">
        <f t="shared" si="65"/>
        <v>795</v>
      </c>
      <c r="K129" s="239"/>
      <c r="L129" s="292" t="str">
        <f t="shared" si="66"/>
        <v>Actual</v>
      </c>
      <c r="M129" s="217">
        <f t="shared" ca="1" si="67"/>
        <v>852.16299999999978</v>
      </c>
      <c r="N129" s="841"/>
      <c r="O129" s="218">
        <f t="shared" ca="1" si="68"/>
        <v>57.162999999999784</v>
      </c>
      <c r="P129" s="219">
        <f t="shared" ca="1" si="69"/>
        <v>7.1903144654087772E-2</v>
      </c>
      <c r="Q129" s="239"/>
      <c r="R129" s="220">
        <v>43571</v>
      </c>
      <c r="S129" s="221" t="s">
        <v>295</v>
      </c>
      <c r="T129" s="240"/>
    </row>
    <row r="130" spans="1:20" s="198" customFormat="1" x14ac:dyDescent="0.25">
      <c r="A130" s="208">
        <v>82</v>
      </c>
      <c r="B130" s="292" t="str">
        <f t="shared" si="63"/>
        <v>Historical</v>
      </c>
      <c r="C130" s="239"/>
      <c r="D130" s="215" t="s">
        <v>303</v>
      </c>
      <c r="E130" s="216"/>
      <c r="F130" s="292" t="s">
        <v>294</v>
      </c>
      <c r="G130" s="239"/>
      <c r="H130" s="222">
        <v>0.34899999999999998</v>
      </c>
      <c r="I130" s="222">
        <v>0.34899999999999998</v>
      </c>
      <c r="J130" s="222">
        <f t="shared" si="65"/>
        <v>0.34899999999999998</v>
      </c>
      <c r="K130" s="239"/>
      <c r="L130" s="292" t="str">
        <f t="shared" si="66"/>
        <v>Actual</v>
      </c>
      <c r="M130" s="222" t="str">
        <f t="shared" ca="1" si="67"/>
        <v>N/A</v>
      </c>
      <c r="N130" s="239"/>
      <c r="O130" s="219" t="str">
        <f t="shared" ca="1" si="68"/>
        <v>N/A</v>
      </c>
      <c r="P130" s="219" t="str">
        <f t="shared" ca="1" si="69"/>
        <v>N/A</v>
      </c>
      <c r="Q130" s="239"/>
      <c r="R130" s="220">
        <v>43571</v>
      </c>
      <c r="S130" s="221" t="s">
        <v>295</v>
      </c>
      <c r="T130" s="240"/>
    </row>
    <row r="131" spans="1:20" s="198" customFormat="1" x14ac:dyDescent="0.25">
      <c r="A131" s="208">
        <v>81</v>
      </c>
      <c r="B131" s="292" t="str">
        <f t="shared" si="63"/>
        <v>Historical</v>
      </c>
      <c r="C131" s="239"/>
      <c r="D131" s="215" t="str">
        <f ca="1">INDEX(INDIRECT(E131),0,COLUMN(MO_Common_Column_A))</f>
        <v>Domestic Paid EOP Streaming Memberships, 000s</v>
      </c>
      <c r="E131" s="216" t="s">
        <v>304</v>
      </c>
      <c r="F131" s="292" t="s">
        <v>294</v>
      </c>
      <c r="G131" s="239"/>
      <c r="H131" s="217">
        <v>60530</v>
      </c>
      <c r="I131" s="217">
        <v>60530</v>
      </c>
      <c r="J131" s="217">
        <f t="shared" si="65"/>
        <v>60530</v>
      </c>
      <c r="K131" s="239"/>
      <c r="L131" s="292" t="str">
        <f t="shared" si="66"/>
        <v>Actual</v>
      </c>
      <c r="M131" s="217">
        <f t="shared" ca="1" si="67"/>
        <v>60103</v>
      </c>
      <c r="N131" s="239"/>
      <c r="O131" s="218">
        <f t="shared" ca="1" si="68"/>
        <v>-427</v>
      </c>
      <c r="P131" s="219">
        <f t="shared" ca="1" si="69"/>
        <v>-7.0543532132826695E-3</v>
      </c>
      <c r="Q131" s="239"/>
      <c r="R131" s="220">
        <v>43571</v>
      </c>
      <c r="S131" s="221" t="s">
        <v>295</v>
      </c>
      <c r="T131" s="240"/>
    </row>
    <row r="132" spans="1:20" s="198" customFormat="1" x14ac:dyDescent="0.25">
      <c r="A132" s="208">
        <v>80</v>
      </c>
      <c r="B132" s="292" t="str">
        <f t="shared" si="63"/>
        <v>Historical</v>
      </c>
      <c r="C132" s="239"/>
      <c r="D132" s="215" t="str">
        <f ca="1">INDEX(INDIRECT(E132),0,COLUMN(MO_Common_Column_A))</f>
        <v>Net Domestic Paid Streaming Memberships Change, 000s</v>
      </c>
      <c r="E132" s="216" t="s">
        <v>305</v>
      </c>
      <c r="F132" s="292" t="s">
        <v>294</v>
      </c>
      <c r="G132" s="239"/>
      <c r="H132" s="217">
        <v>300</v>
      </c>
      <c r="I132" s="217">
        <v>300</v>
      </c>
      <c r="J132" s="217">
        <f t="shared" si="65"/>
        <v>300</v>
      </c>
      <c r="K132" s="239"/>
      <c r="L132" s="292" t="str">
        <f t="shared" si="66"/>
        <v>Actual</v>
      </c>
      <c r="M132" s="217">
        <f t="shared" ca="1" si="67"/>
        <v>-126</v>
      </c>
      <c r="N132" s="239"/>
      <c r="O132" s="218">
        <f t="shared" ca="1" si="68"/>
        <v>-426</v>
      </c>
      <c r="P132" s="219">
        <f t="shared" ca="1" si="69"/>
        <v>-1.42</v>
      </c>
      <c r="Q132" s="239"/>
      <c r="R132" s="220">
        <v>43571</v>
      </c>
      <c r="S132" s="221" t="s">
        <v>295</v>
      </c>
      <c r="T132" s="240"/>
    </row>
    <row r="133" spans="1:20" s="198" customFormat="1" x14ac:dyDescent="0.25">
      <c r="A133" s="208">
        <v>79</v>
      </c>
      <c r="B133" s="292" t="str">
        <f t="shared" si="63"/>
        <v>Historical</v>
      </c>
      <c r="C133" s="239"/>
      <c r="D133" s="215" t="s">
        <v>306</v>
      </c>
      <c r="E133" s="216" t="s">
        <v>725</v>
      </c>
      <c r="F133" s="292" t="s">
        <v>294</v>
      </c>
      <c r="G133" s="239"/>
      <c r="H133" s="222">
        <v>0.125</v>
      </c>
      <c r="I133" s="222">
        <v>0.125</v>
      </c>
      <c r="J133" s="222">
        <f t="shared" si="65"/>
        <v>0.125</v>
      </c>
      <c r="K133" s="239"/>
      <c r="L133" s="292" t="str">
        <f t="shared" si="66"/>
        <v>Actual</v>
      </c>
      <c r="M133" s="222">
        <f t="shared" ca="1" si="67"/>
        <v>0.14349022042137538</v>
      </c>
      <c r="N133" s="225"/>
      <c r="O133" s="219">
        <f t="shared" ca="1" si="68"/>
        <v>1.8490220421375381E-2</v>
      </c>
      <c r="P133" s="219">
        <f t="shared" ca="1" si="69"/>
        <v>0.14792176337100305</v>
      </c>
      <c r="Q133" s="239"/>
      <c r="R133" s="220">
        <v>43571</v>
      </c>
      <c r="S133" s="221" t="s">
        <v>295</v>
      </c>
      <c r="T133" s="240"/>
    </row>
    <row r="134" spans="1:20" s="198" customFormat="1" x14ac:dyDescent="0.25">
      <c r="A134" s="208">
        <v>78</v>
      </c>
      <c r="B134" s="292" t="str">
        <f t="shared" si="63"/>
        <v>Historical</v>
      </c>
      <c r="C134" s="239"/>
      <c r="D134" s="215" t="s">
        <v>307</v>
      </c>
      <c r="E134" s="216"/>
      <c r="F134" s="292" t="s">
        <v>294</v>
      </c>
      <c r="G134" s="239"/>
      <c r="H134" s="217">
        <v>0.3</v>
      </c>
      <c r="I134" s="217">
        <v>0.13</v>
      </c>
      <c r="J134" s="217">
        <f t="shared" si="65"/>
        <v>0.215</v>
      </c>
      <c r="K134" s="239"/>
      <c r="L134" s="292" t="str">
        <f t="shared" si="66"/>
        <v>Actual</v>
      </c>
      <c r="M134" s="217" t="str">
        <f t="shared" ca="1" si="67"/>
        <v>N/A</v>
      </c>
      <c r="N134" s="239"/>
      <c r="O134" s="218" t="str">
        <f t="shared" ca="1" si="68"/>
        <v>N/A</v>
      </c>
      <c r="P134" s="219" t="str">
        <f t="shared" ca="1" si="69"/>
        <v>N/A</v>
      </c>
      <c r="Q134" s="239"/>
      <c r="R134" s="220">
        <v>43571</v>
      </c>
      <c r="S134" s="221" t="s">
        <v>295</v>
      </c>
      <c r="T134" s="240"/>
    </row>
    <row r="135" spans="1:20" s="198" customFormat="1" x14ac:dyDescent="0.25">
      <c r="A135" s="208">
        <v>77</v>
      </c>
      <c r="B135" s="292" t="str">
        <f t="shared" si="63"/>
        <v>Historical</v>
      </c>
      <c r="C135" s="239"/>
      <c r="D135" s="215" t="str">
        <f ca="1">INDEX(INDIRECT(E135),0,COLUMN(MO_Common_Column_A))</f>
        <v>International Streaming Revenue, mm</v>
      </c>
      <c r="E135" s="216" t="s">
        <v>308</v>
      </c>
      <c r="F135" s="292" t="s">
        <v>294</v>
      </c>
      <c r="G135" s="239"/>
      <c r="H135" s="217">
        <v>2575</v>
      </c>
      <c r="I135" s="217">
        <v>2575</v>
      </c>
      <c r="J135" s="217">
        <f t="shared" si="65"/>
        <v>2575</v>
      </c>
      <c r="K135" s="239"/>
      <c r="L135" s="292" t="str">
        <f t="shared" si="66"/>
        <v>Actual</v>
      </c>
      <c r="M135" s="217">
        <f t="shared" ca="1" si="67"/>
        <v>2547.7269999999999</v>
      </c>
      <c r="N135" s="239"/>
      <c r="O135" s="218">
        <f t="shared" ca="1" si="68"/>
        <v>-27.273000000000138</v>
      </c>
      <c r="P135" s="219">
        <f t="shared" ca="1" si="69"/>
        <v>-1.0591456310679665E-2</v>
      </c>
      <c r="Q135" s="239"/>
      <c r="R135" s="220">
        <v>43571</v>
      </c>
      <c r="S135" s="221" t="s">
        <v>295</v>
      </c>
      <c r="T135" s="240"/>
    </row>
    <row r="136" spans="1:20" s="198" customFormat="1" x14ac:dyDescent="0.25">
      <c r="A136" s="208">
        <v>76</v>
      </c>
      <c r="B136" s="292" t="str">
        <f t="shared" si="63"/>
        <v>Historical</v>
      </c>
      <c r="C136" s="239"/>
      <c r="D136" s="215" t="s">
        <v>309</v>
      </c>
      <c r="E136" s="216" t="s">
        <v>310</v>
      </c>
      <c r="F136" s="292" t="s">
        <v>294</v>
      </c>
      <c r="G136" s="239"/>
      <c r="H136" s="217">
        <v>400</v>
      </c>
      <c r="I136" s="217">
        <v>400</v>
      </c>
      <c r="J136" s="217">
        <f t="shared" si="65"/>
        <v>400</v>
      </c>
      <c r="K136" s="239"/>
      <c r="L136" s="292" t="str">
        <f t="shared" si="66"/>
        <v>Actual</v>
      </c>
      <c r="M136" s="217">
        <f t="shared" ca="1" si="67"/>
        <v>416.29299999999978</v>
      </c>
      <c r="N136" s="239"/>
      <c r="O136" s="218">
        <f t="shared" ca="1" si="68"/>
        <v>16.292999999999779</v>
      </c>
      <c r="P136" s="219">
        <f t="shared" ca="1" si="69"/>
        <v>4.073249999999945E-2</v>
      </c>
      <c r="Q136" s="239"/>
      <c r="R136" s="220">
        <v>43571</v>
      </c>
      <c r="S136" s="221" t="s">
        <v>295</v>
      </c>
      <c r="T136" s="240"/>
    </row>
    <row r="137" spans="1:20" s="198" customFormat="1" x14ac:dyDescent="0.25">
      <c r="A137" s="208">
        <v>75</v>
      </c>
      <c r="B137" s="292" t="str">
        <f t="shared" si="63"/>
        <v>Historical</v>
      </c>
      <c r="C137" s="239"/>
      <c r="D137" s="215" t="s">
        <v>311</v>
      </c>
      <c r="E137" s="216"/>
      <c r="F137" s="292" t="s">
        <v>294</v>
      </c>
      <c r="G137" s="239"/>
      <c r="H137" s="222">
        <v>0.155</v>
      </c>
      <c r="I137" s="222">
        <v>0.155</v>
      </c>
      <c r="J137" s="222">
        <f t="shared" si="65"/>
        <v>0.155</v>
      </c>
      <c r="K137" s="239"/>
      <c r="L137" s="292" t="str">
        <f t="shared" si="66"/>
        <v>Actual</v>
      </c>
      <c r="M137" s="222" t="str">
        <f t="shared" ca="1" si="67"/>
        <v>N/A</v>
      </c>
      <c r="N137" s="225"/>
      <c r="O137" s="219" t="str">
        <f t="shared" ca="1" si="68"/>
        <v>N/A</v>
      </c>
      <c r="P137" s="219" t="str">
        <f t="shared" ca="1" si="69"/>
        <v>N/A</v>
      </c>
      <c r="Q137" s="239"/>
      <c r="R137" s="220">
        <v>43571</v>
      </c>
      <c r="S137" s="221" t="s">
        <v>295</v>
      </c>
      <c r="T137" s="240"/>
    </row>
    <row r="138" spans="1:20" s="198" customFormat="1" x14ac:dyDescent="0.25">
      <c r="A138" s="208">
        <v>74</v>
      </c>
      <c r="B138" s="292" t="str">
        <f t="shared" si="63"/>
        <v>Historical</v>
      </c>
      <c r="C138" s="239"/>
      <c r="D138" s="215" t="str">
        <f ca="1">INDEX(INDIRECT(E138),0,COLUMN(MO_Common_Column_A))</f>
        <v>International Paid EOP Streaming Memberships, 000s</v>
      </c>
      <c r="E138" s="216" t="s">
        <v>312</v>
      </c>
      <c r="F138" s="292" t="s">
        <v>294</v>
      </c>
      <c r="G138" s="239"/>
      <c r="H138" s="217">
        <v>93330</v>
      </c>
      <c r="I138" s="217">
        <v>93330</v>
      </c>
      <c r="J138" s="217">
        <f t="shared" si="65"/>
        <v>93330</v>
      </c>
      <c r="K138" s="239"/>
      <c r="L138" s="292" t="str">
        <f t="shared" si="66"/>
        <v>Actual</v>
      </c>
      <c r="M138" s="217">
        <f t="shared" ca="1" si="67"/>
        <v>91459</v>
      </c>
      <c r="N138" s="239"/>
      <c r="O138" s="218">
        <f t="shared" ca="1" si="68"/>
        <v>-1871</v>
      </c>
      <c r="P138" s="219">
        <f t="shared" ca="1" si="69"/>
        <v>-2.0047144540876461E-2</v>
      </c>
      <c r="Q138" s="239"/>
      <c r="R138" s="220">
        <v>43571</v>
      </c>
      <c r="S138" s="221" t="s">
        <v>295</v>
      </c>
      <c r="T138" s="240"/>
    </row>
    <row r="139" spans="1:20" s="198" customFormat="1" x14ac:dyDescent="0.25">
      <c r="A139" s="208">
        <v>73</v>
      </c>
      <c r="B139" s="292" t="str">
        <f t="shared" si="63"/>
        <v>Historical</v>
      </c>
      <c r="C139" s="239"/>
      <c r="D139" s="215" t="str">
        <f ca="1">INDEX(INDIRECT(E139),0,COLUMN(MO_Common_Column_A))</f>
        <v>Net International Paid Streaming Memberships Change, 000s</v>
      </c>
      <c r="E139" s="216" t="s">
        <v>313</v>
      </c>
      <c r="F139" s="292" t="s">
        <v>294</v>
      </c>
      <c r="G139" s="239"/>
      <c r="H139" s="217">
        <v>4700</v>
      </c>
      <c r="I139" s="217">
        <v>4700</v>
      </c>
      <c r="J139" s="217">
        <f t="shared" si="65"/>
        <v>4700</v>
      </c>
      <c r="K139" s="239"/>
      <c r="L139" s="292" t="str">
        <f t="shared" si="66"/>
        <v>Actual</v>
      </c>
      <c r="M139" s="217">
        <f t="shared" ca="1" si="67"/>
        <v>2825</v>
      </c>
      <c r="N139" s="239"/>
      <c r="O139" s="218">
        <f t="shared" ca="1" si="68"/>
        <v>-1875</v>
      </c>
      <c r="P139" s="219">
        <f t="shared" ca="1" si="69"/>
        <v>-0.39893617021276595</v>
      </c>
      <c r="Q139" s="239"/>
      <c r="R139" s="220">
        <v>43571</v>
      </c>
      <c r="S139" s="221" t="s">
        <v>295</v>
      </c>
      <c r="T139" s="240"/>
    </row>
    <row r="140" spans="1:20" s="198" customFormat="1" x14ac:dyDescent="0.25">
      <c r="A140" s="208">
        <v>72</v>
      </c>
      <c r="B140" s="239"/>
      <c r="C140" s="239"/>
      <c r="D140" s="226"/>
      <c r="E140" s="239"/>
      <c r="F140" s="239"/>
      <c r="G140" s="239"/>
      <c r="H140" s="239"/>
      <c r="I140" s="239"/>
      <c r="J140" s="239"/>
      <c r="K140" s="239"/>
      <c r="L140" s="239"/>
      <c r="M140" s="239"/>
      <c r="N140" s="239"/>
      <c r="O140" s="226"/>
      <c r="P140" s="226"/>
      <c r="Q140" s="239"/>
      <c r="R140" s="239"/>
      <c r="S140" s="364"/>
      <c r="T140" s="239"/>
    </row>
    <row r="141" spans="1:20" s="198" customFormat="1" x14ac:dyDescent="0.25">
      <c r="A141" s="208">
        <v>71</v>
      </c>
      <c r="B141" s="292" t="str">
        <f t="shared" ref="B141:B157" si="70">IF(INDEX(MO_SNA_IsHistoricalPeriod,,MATCH(F141,MO_Common_ColumnHeader,0)),"Historical","Forward")</f>
        <v>Historical</v>
      </c>
      <c r="C141" s="239"/>
      <c r="D141" s="215" t="str">
        <f t="shared" ref="D141:D146" ca="1" si="71">INDEX(INDIRECT(E141),0,COLUMN(MO_Common_Column_A))</f>
        <v>Net Revenue</v>
      </c>
      <c r="E141" s="216" t="s">
        <v>293</v>
      </c>
      <c r="F141" s="292" t="s">
        <v>315</v>
      </c>
      <c r="G141" s="239"/>
      <c r="H141" s="217">
        <v>4494</v>
      </c>
      <c r="I141" s="217">
        <v>4494</v>
      </c>
      <c r="J141" s="217">
        <f t="shared" ref="J141:J157" si="72">AVERAGE(H141:I141)</f>
        <v>4494</v>
      </c>
      <c r="K141" s="239"/>
      <c r="L141" s="292" t="str">
        <f t="shared" ref="L141:L157" si="73">IF(INDEX(MO_SNA_IsHistoricalPeriod,,MATCH(F141,MO_Common_ColumnHeader,0)),"Actual","Estimate")</f>
        <v>Actual</v>
      </c>
      <c r="M141" s="217">
        <f t="shared" ref="M141:M157" ca="1" si="74">IFERROR(INDEX(INDIRECT(E141),0,MATCH(F141,MO_Common_ColumnHeader,0)),"N/A")</f>
        <v>4520.9920000000002</v>
      </c>
      <c r="N141" s="239"/>
      <c r="O141" s="218">
        <f t="shared" ref="O141:O157" ca="1" si="75">IF(ISNUMBER(M141),M141-J141,"N/A")</f>
        <v>26.992000000000189</v>
      </c>
      <c r="P141" s="219">
        <f t="shared" ref="P141:P157" ca="1" si="76">IFERROR(IF(ISNUMBER(M141),(M141-J141)/ABS(J141),"N/A"),"N/A")</f>
        <v>6.0062305295950575E-3</v>
      </c>
      <c r="Q141" s="239"/>
      <c r="R141" s="220">
        <v>43482</v>
      </c>
      <c r="S141" s="221" t="s">
        <v>295</v>
      </c>
      <c r="T141" s="240"/>
    </row>
    <row r="142" spans="1:20" s="198" customFormat="1" x14ac:dyDescent="0.25">
      <c r="A142" s="208">
        <v>70</v>
      </c>
      <c r="B142" s="292" t="str">
        <f t="shared" si="70"/>
        <v>Historical</v>
      </c>
      <c r="C142" s="239"/>
      <c r="D142" s="215" t="str">
        <f t="shared" ca="1" si="71"/>
        <v>Y/Y Total revenue growth, %</v>
      </c>
      <c r="E142" s="216" t="s">
        <v>296</v>
      </c>
      <c r="F142" s="292" t="s">
        <v>315</v>
      </c>
      <c r="G142" s="239"/>
      <c r="H142" s="222">
        <v>0.214</v>
      </c>
      <c r="I142" s="222">
        <v>0.214</v>
      </c>
      <c r="J142" s="222">
        <f t="shared" si="72"/>
        <v>0.214</v>
      </c>
      <c r="K142" s="239"/>
      <c r="L142" s="292" t="str">
        <f t="shared" si="73"/>
        <v>Actual</v>
      </c>
      <c r="M142" s="222">
        <f t="shared" ca="1" si="74"/>
        <v>0.22160710927417848</v>
      </c>
      <c r="N142" s="239"/>
      <c r="O142" s="219">
        <f t="shared" ca="1" si="75"/>
        <v>7.6071092741784863E-3</v>
      </c>
      <c r="P142" s="219">
        <f t="shared" ca="1" si="76"/>
        <v>3.5547239598964893E-2</v>
      </c>
      <c r="Q142" s="239"/>
      <c r="R142" s="220">
        <v>43482</v>
      </c>
      <c r="S142" s="221" t="s">
        <v>295</v>
      </c>
      <c r="T142" s="240"/>
    </row>
    <row r="143" spans="1:20" s="198" customFormat="1" x14ac:dyDescent="0.25">
      <c r="A143" s="208">
        <v>69</v>
      </c>
      <c r="B143" s="292" t="str">
        <f t="shared" si="70"/>
        <v>Historical</v>
      </c>
      <c r="C143" s="239"/>
      <c r="D143" s="215" t="str">
        <f t="shared" ca="1" si="71"/>
        <v>EBIT</v>
      </c>
      <c r="E143" s="216" t="s">
        <v>297</v>
      </c>
      <c r="F143" s="292" t="s">
        <v>315</v>
      </c>
      <c r="G143" s="239"/>
      <c r="H143" s="217">
        <v>400</v>
      </c>
      <c r="I143" s="217">
        <v>400</v>
      </c>
      <c r="J143" s="217">
        <f t="shared" si="72"/>
        <v>400</v>
      </c>
      <c r="K143" s="239"/>
      <c r="L143" s="292" t="str">
        <f t="shared" si="73"/>
        <v>Actual</v>
      </c>
      <c r="M143" s="217">
        <f t="shared" ca="1" si="74"/>
        <v>459.08400000000029</v>
      </c>
      <c r="N143" s="239"/>
      <c r="O143" s="218">
        <f t="shared" ca="1" si="75"/>
        <v>59.084000000000287</v>
      </c>
      <c r="P143" s="219">
        <f t="shared" ca="1" si="76"/>
        <v>0.14771000000000073</v>
      </c>
      <c r="Q143" s="239"/>
      <c r="R143" s="220">
        <v>43482</v>
      </c>
      <c r="S143" s="221" t="s">
        <v>295</v>
      </c>
      <c r="T143" s="240"/>
    </row>
    <row r="144" spans="1:20" s="198" customFormat="1" x14ac:dyDescent="0.25">
      <c r="A144" s="208">
        <v>68</v>
      </c>
      <c r="B144" s="292" t="str">
        <f t="shared" si="70"/>
        <v>Historical</v>
      </c>
      <c r="C144" s="239"/>
      <c r="D144" s="215" t="str">
        <f t="shared" ca="1" si="71"/>
        <v>Net Income to Common Shareholders</v>
      </c>
      <c r="E144" s="216" t="s">
        <v>298</v>
      </c>
      <c r="F144" s="292" t="s">
        <v>315</v>
      </c>
      <c r="G144" s="239"/>
      <c r="H144" s="217">
        <v>253</v>
      </c>
      <c r="I144" s="217">
        <v>253</v>
      </c>
      <c r="J144" s="217">
        <f t="shared" si="72"/>
        <v>253</v>
      </c>
      <c r="K144" s="239"/>
      <c r="L144" s="292" t="str">
        <f t="shared" si="73"/>
        <v>Actual</v>
      </c>
      <c r="M144" s="217">
        <f t="shared" ca="1" si="74"/>
        <v>344.05200000000025</v>
      </c>
      <c r="N144" s="239"/>
      <c r="O144" s="218">
        <f t="shared" ca="1" si="75"/>
        <v>91.052000000000248</v>
      </c>
      <c r="P144" s="219">
        <f t="shared" ca="1" si="76"/>
        <v>0.35988932806324209</v>
      </c>
      <c r="Q144" s="239"/>
      <c r="R144" s="220">
        <v>43482</v>
      </c>
      <c r="S144" s="221" t="s">
        <v>295</v>
      </c>
      <c r="T144" s="240"/>
    </row>
    <row r="145" spans="1:20" s="198" customFormat="1" x14ac:dyDescent="0.25">
      <c r="A145" s="208">
        <v>67</v>
      </c>
      <c r="B145" s="292" t="str">
        <f t="shared" si="70"/>
        <v>Historical</v>
      </c>
      <c r="C145" s="239"/>
      <c r="D145" s="215" t="str">
        <f t="shared" ca="1" si="71"/>
        <v>Earnings Per Share - WAD</v>
      </c>
      <c r="E145" s="216" t="s">
        <v>299</v>
      </c>
      <c r="F145" s="292" t="s">
        <v>315</v>
      </c>
      <c r="G145" s="239"/>
      <c r="H145" s="223">
        <v>0.56000000000000005</v>
      </c>
      <c r="I145" s="223">
        <v>0.56000000000000005</v>
      </c>
      <c r="J145" s="223">
        <f t="shared" si="72"/>
        <v>0.56000000000000005</v>
      </c>
      <c r="K145" s="239"/>
      <c r="L145" s="292" t="str">
        <f t="shared" si="73"/>
        <v>Actual</v>
      </c>
      <c r="M145" s="223">
        <f t="shared" ca="1" si="74"/>
        <v>0.76130836737313123</v>
      </c>
      <c r="N145" s="239"/>
      <c r="O145" s="224">
        <f t="shared" ca="1" si="75"/>
        <v>0.20130836737313118</v>
      </c>
      <c r="P145" s="219">
        <f t="shared" ca="1" si="76"/>
        <v>0.35947922745201993</v>
      </c>
      <c r="Q145" s="239"/>
      <c r="R145" s="220">
        <v>43482</v>
      </c>
      <c r="S145" s="221" t="s">
        <v>295</v>
      </c>
      <c r="T145" s="240"/>
    </row>
    <row r="146" spans="1:20" s="198" customFormat="1" x14ac:dyDescent="0.25">
      <c r="A146" s="208">
        <v>66</v>
      </c>
      <c r="B146" s="292" t="str">
        <f t="shared" si="70"/>
        <v>Historical</v>
      </c>
      <c r="C146" s="239"/>
      <c r="D146" s="215" t="str">
        <f t="shared" ca="1" si="71"/>
        <v>Domestic Streaming Revenue, mm</v>
      </c>
      <c r="E146" s="216" t="s">
        <v>300</v>
      </c>
      <c r="F146" s="292" t="s">
        <v>315</v>
      </c>
      <c r="G146" s="239"/>
      <c r="H146" s="217">
        <v>2064</v>
      </c>
      <c r="I146" s="217">
        <v>2064</v>
      </c>
      <c r="J146" s="217">
        <f t="shared" si="72"/>
        <v>2064</v>
      </c>
      <c r="K146" s="239"/>
      <c r="L146" s="292" t="str">
        <f t="shared" si="73"/>
        <v>Actual</v>
      </c>
      <c r="M146" s="217">
        <f t="shared" ca="1" si="74"/>
        <v>2073.5549999999998</v>
      </c>
      <c r="N146" s="239"/>
      <c r="O146" s="218">
        <f t="shared" ca="1" si="75"/>
        <v>9.5549999999998363</v>
      </c>
      <c r="P146" s="219">
        <f t="shared" ca="1" si="76"/>
        <v>4.6293604651161998E-3</v>
      </c>
      <c r="Q146" s="239"/>
      <c r="R146" s="220">
        <v>43482</v>
      </c>
      <c r="S146" s="221" t="s">
        <v>295</v>
      </c>
      <c r="T146" s="240"/>
    </row>
    <row r="147" spans="1:20" s="198" customFormat="1" x14ac:dyDescent="0.25">
      <c r="A147" s="208">
        <v>65</v>
      </c>
      <c r="B147" s="292" t="str">
        <f t="shared" si="70"/>
        <v>Historical</v>
      </c>
      <c r="C147" s="239"/>
      <c r="D147" s="215" t="s">
        <v>301</v>
      </c>
      <c r="E147" s="216" t="s">
        <v>302</v>
      </c>
      <c r="F147" s="292" t="s">
        <v>315</v>
      </c>
      <c r="G147" s="239"/>
      <c r="H147" s="217">
        <v>705</v>
      </c>
      <c r="I147" s="217">
        <v>705</v>
      </c>
      <c r="J147" s="217">
        <f t="shared" si="72"/>
        <v>705</v>
      </c>
      <c r="K147" s="239"/>
      <c r="L147" s="292" t="str">
        <f t="shared" si="73"/>
        <v>Actual</v>
      </c>
      <c r="M147" s="217">
        <f t="shared" ca="1" si="74"/>
        <v>712.97399999999971</v>
      </c>
      <c r="N147" s="841"/>
      <c r="O147" s="218">
        <f t="shared" ca="1" si="75"/>
        <v>7.9739999999997053</v>
      </c>
      <c r="P147" s="219">
        <f t="shared" ca="1" si="76"/>
        <v>1.1310638297871923E-2</v>
      </c>
      <c r="Q147" s="239"/>
      <c r="R147" s="220">
        <v>43482</v>
      </c>
      <c r="S147" s="221" t="s">
        <v>295</v>
      </c>
      <c r="T147" s="240"/>
    </row>
    <row r="148" spans="1:20" s="198" customFormat="1" x14ac:dyDescent="0.25">
      <c r="A148" s="208">
        <v>64</v>
      </c>
      <c r="B148" s="292" t="str">
        <f t="shared" si="70"/>
        <v>Historical</v>
      </c>
      <c r="C148" s="239"/>
      <c r="D148" s="215" t="s">
        <v>303</v>
      </c>
      <c r="E148" s="216"/>
      <c r="F148" s="292" t="s">
        <v>315</v>
      </c>
      <c r="G148" s="239"/>
      <c r="H148" s="222">
        <v>0.34200000000000003</v>
      </c>
      <c r="I148" s="222">
        <v>0.34200000000000003</v>
      </c>
      <c r="J148" s="222">
        <f t="shared" si="72"/>
        <v>0.34200000000000003</v>
      </c>
      <c r="K148" s="239"/>
      <c r="L148" s="292" t="str">
        <f t="shared" si="73"/>
        <v>Actual</v>
      </c>
      <c r="M148" s="222" t="str">
        <f t="shared" ca="1" si="74"/>
        <v>N/A</v>
      </c>
      <c r="N148" s="239"/>
      <c r="O148" s="219" t="str">
        <f t="shared" ca="1" si="75"/>
        <v>N/A</v>
      </c>
      <c r="P148" s="219" t="str">
        <f t="shared" ca="1" si="76"/>
        <v>N/A</v>
      </c>
      <c r="Q148" s="239"/>
      <c r="R148" s="220">
        <v>43482</v>
      </c>
      <c r="S148" s="221" t="s">
        <v>295</v>
      </c>
      <c r="T148" s="240"/>
    </row>
    <row r="149" spans="1:20" s="198" customFormat="1" x14ac:dyDescent="0.25">
      <c r="A149" s="208">
        <v>63</v>
      </c>
      <c r="B149" s="292" t="str">
        <f t="shared" si="70"/>
        <v>Historical</v>
      </c>
      <c r="C149" s="239"/>
      <c r="D149" s="215" t="str">
        <f ca="1">INDEX(INDIRECT(E149),0,COLUMN(MO_Common_Column_A))</f>
        <v>Domestic Paid EOP Streaming Memberships, 000s</v>
      </c>
      <c r="E149" s="216" t="s">
        <v>304</v>
      </c>
      <c r="F149" s="292" t="s">
        <v>315</v>
      </c>
      <c r="G149" s="239"/>
      <c r="H149" s="217">
        <v>60090</v>
      </c>
      <c r="I149" s="217">
        <v>60090</v>
      </c>
      <c r="J149" s="217">
        <f t="shared" si="72"/>
        <v>60090</v>
      </c>
      <c r="K149" s="239"/>
      <c r="L149" s="292" t="str">
        <f t="shared" si="73"/>
        <v>Actual</v>
      </c>
      <c r="M149" s="217">
        <f t="shared" ca="1" si="74"/>
        <v>60229</v>
      </c>
      <c r="N149" s="239"/>
      <c r="O149" s="218">
        <f t="shared" ca="1" si="75"/>
        <v>139</v>
      </c>
      <c r="P149" s="219">
        <f t="shared" ca="1" si="76"/>
        <v>2.3131968713596272E-3</v>
      </c>
      <c r="Q149" s="239"/>
      <c r="R149" s="220">
        <v>43482</v>
      </c>
      <c r="S149" s="221" t="s">
        <v>295</v>
      </c>
      <c r="T149" s="240"/>
    </row>
    <row r="150" spans="1:20" s="198" customFormat="1" x14ac:dyDescent="0.25">
      <c r="A150" s="208">
        <v>62</v>
      </c>
      <c r="B150" s="292" t="str">
        <f t="shared" si="70"/>
        <v>Historical</v>
      </c>
      <c r="C150" s="239"/>
      <c r="D150" s="215" t="str">
        <f ca="1">INDEX(INDIRECT(E150),0,COLUMN(MO_Common_Column_A))</f>
        <v>Net Domestic Paid Streaming Memberships Change, 000s</v>
      </c>
      <c r="E150" s="216" t="s">
        <v>305</v>
      </c>
      <c r="F150" s="292" t="s">
        <v>315</v>
      </c>
      <c r="G150" s="239"/>
      <c r="H150" s="217">
        <v>1600</v>
      </c>
      <c r="I150" s="217">
        <v>1600</v>
      </c>
      <c r="J150" s="217">
        <f t="shared" si="72"/>
        <v>1600</v>
      </c>
      <c r="K150" s="239"/>
      <c r="L150" s="292" t="str">
        <f t="shared" si="73"/>
        <v>Actual</v>
      </c>
      <c r="M150" s="217">
        <f t="shared" ca="1" si="74"/>
        <v>1743</v>
      </c>
      <c r="N150" s="239"/>
      <c r="O150" s="218">
        <f t="shared" ca="1" si="75"/>
        <v>143</v>
      </c>
      <c r="P150" s="219">
        <f t="shared" ca="1" si="76"/>
        <v>8.9374999999999996E-2</v>
      </c>
      <c r="Q150" s="239"/>
      <c r="R150" s="220">
        <v>43482</v>
      </c>
      <c r="S150" s="221" t="s">
        <v>295</v>
      </c>
      <c r="T150" s="240"/>
    </row>
    <row r="151" spans="1:20" s="198" customFormat="1" x14ac:dyDescent="0.25">
      <c r="A151" s="208">
        <v>61</v>
      </c>
      <c r="B151" s="292" t="str">
        <f t="shared" si="70"/>
        <v>Historical</v>
      </c>
      <c r="C151" s="239"/>
      <c r="D151" s="215" t="s">
        <v>306</v>
      </c>
      <c r="E151" s="216" t="s">
        <v>725</v>
      </c>
      <c r="F151" s="292" t="s">
        <v>315</v>
      </c>
      <c r="G151" s="239"/>
      <c r="H151" s="222">
        <v>8.8999999999999996E-2</v>
      </c>
      <c r="I151" s="222">
        <v>8.8999999999999996E-2</v>
      </c>
      <c r="J151" s="222">
        <f t="shared" si="72"/>
        <v>8.8999999999999996E-2</v>
      </c>
      <c r="K151" s="239"/>
      <c r="L151" s="292" t="str">
        <f t="shared" si="73"/>
        <v>Actual</v>
      </c>
      <c r="M151" s="222">
        <f t="shared" ca="1" si="74"/>
        <v>0.10154497066130624</v>
      </c>
      <c r="N151" s="225"/>
      <c r="O151" s="219">
        <f t="shared" ca="1" si="75"/>
        <v>1.2544970661306248E-2</v>
      </c>
      <c r="P151" s="219">
        <f t="shared" ca="1" si="76"/>
        <v>0.14095472653153088</v>
      </c>
      <c r="Q151" s="239"/>
      <c r="R151" s="220">
        <v>43482</v>
      </c>
      <c r="S151" s="221" t="s">
        <v>295</v>
      </c>
      <c r="T151" s="240"/>
    </row>
    <row r="152" spans="1:20" s="198" customFormat="1" x14ac:dyDescent="0.25">
      <c r="A152" s="208">
        <v>60</v>
      </c>
      <c r="B152" s="292" t="str">
        <f t="shared" si="70"/>
        <v>Historical</v>
      </c>
      <c r="C152" s="239"/>
      <c r="D152" s="215" t="s">
        <v>307</v>
      </c>
      <c r="E152" s="216"/>
      <c r="F152" s="292" t="s">
        <v>315</v>
      </c>
      <c r="G152" s="239"/>
      <c r="H152" s="217">
        <v>1.6</v>
      </c>
      <c r="I152" s="217">
        <v>1.6</v>
      </c>
      <c r="J152" s="217">
        <f t="shared" si="72"/>
        <v>1.6</v>
      </c>
      <c r="K152" s="239"/>
      <c r="L152" s="292" t="str">
        <f t="shared" si="73"/>
        <v>Actual</v>
      </c>
      <c r="M152" s="217" t="str">
        <f t="shared" ca="1" si="74"/>
        <v>N/A</v>
      </c>
      <c r="N152" s="239"/>
      <c r="O152" s="218" t="str">
        <f t="shared" ca="1" si="75"/>
        <v>N/A</v>
      </c>
      <c r="P152" s="219" t="str">
        <f t="shared" ca="1" si="76"/>
        <v>N/A</v>
      </c>
      <c r="Q152" s="239"/>
      <c r="R152" s="220">
        <v>43482</v>
      </c>
      <c r="S152" s="221" t="s">
        <v>295</v>
      </c>
      <c r="T152" s="240"/>
    </row>
    <row r="153" spans="1:20" s="198" customFormat="1" x14ac:dyDescent="0.25">
      <c r="A153" s="208">
        <v>59</v>
      </c>
      <c r="B153" s="292" t="str">
        <f t="shared" si="70"/>
        <v>Historical</v>
      </c>
      <c r="C153" s="239"/>
      <c r="D153" s="215" t="str">
        <f ca="1">INDEX(INDIRECT(E153),0,COLUMN(MO_Common_Column_A))</f>
        <v>International Streaming Revenue, mm</v>
      </c>
      <c r="E153" s="216" t="s">
        <v>308</v>
      </c>
      <c r="F153" s="292" t="s">
        <v>315</v>
      </c>
      <c r="G153" s="239"/>
      <c r="H153" s="217">
        <v>2350</v>
      </c>
      <c r="I153" s="217">
        <v>2350</v>
      </c>
      <c r="J153" s="217">
        <f t="shared" si="72"/>
        <v>2350</v>
      </c>
      <c r="K153" s="239"/>
      <c r="L153" s="292" t="str">
        <f t="shared" si="73"/>
        <v>Actual</v>
      </c>
      <c r="M153" s="217">
        <f t="shared" ca="1" si="74"/>
        <v>2366.7489999999998</v>
      </c>
      <c r="N153" s="239"/>
      <c r="O153" s="218">
        <f t="shared" ca="1" si="75"/>
        <v>16.748999999999796</v>
      </c>
      <c r="P153" s="219">
        <f t="shared" ca="1" si="76"/>
        <v>7.1272340425531048E-3</v>
      </c>
      <c r="Q153" s="239"/>
      <c r="R153" s="220">
        <v>43482</v>
      </c>
      <c r="S153" s="221" t="s">
        <v>295</v>
      </c>
      <c r="T153" s="240"/>
    </row>
    <row r="154" spans="1:20" s="198" customFormat="1" x14ac:dyDescent="0.25">
      <c r="A154" s="208">
        <v>58</v>
      </c>
      <c r="B154" s="292" t="str">
        <f t="shared" si="70"/>
        <v>Historical</v>
      </c>
      <c r="C154" s="239"/>
      <c r="D154" s="215" t="s">
        <v>309</v>
      </c>
      <c r="E154" s="216" t="s">
        <v>310</v>
      </c>
      <c r="F154" s="292" t="s">
        <v>315</v>
      </c>
      <c r="G154" s="239"/>
      <c r="H154" s="217">
        <v>230</v>
      </c>
      <c r="I154" s="217">
        <v>230</v>
      </c>
      <c r="J154" s="217">
        <f t="shared" si="72"/>
        <v>230</v>
      </c>
      <c r="K154" s="239"/>
      <c r="L154" s="292" t="str">
        <f t="shared" si="73"/>
        <v>Actual</v>
      </c>
      <c r="M154" s="217">
        <f t="shared" ca="1" si="74"/>
        <v>274.09599999999972</v>
      </c>
      <c r="N154" s="239"/>
      <c r="O154" s="218">
        <f t="shared" ca="1" si="75"/>
        <v>44.095999999999719</v>
      </c>
      <c r="P154" s="219">
        <f t="shared" ca="1" si="76"/>
        <v>0.19172173913043355</v>
      </c>
      <c r="Q154" s="239"/>
      <c r="R154" s="220">
        <v>43482</v>
      </c>
      <c r="S154" s="221" t="s">
        <v>295</v>
      </c>
      <c r="T154" s="240"/>
    </row>
    <row r="155" spans="1:20" s="198" customFormat="1" x14ac:dyDescent="0.25">
      <c r="A155" s="208">
        <v>57</v>
      </c>
      <c r="B155" s="292" t="str">
        <f t="shared" si="70"/>
        <v>Historical</v>
      </c>
      <c r="C155" s="239"/>
      <c r="D155" s="215" t="s">
        <v>311</v>
      </c>
      <c r="E155" s="216"/>
      <c r="F155" s="292" t="s">
        <v>315</v>
      </c>
      <c r="G155" s="239"/>
      <c r="H155" s="222">
        <v>9.8000000000000004E-2</v>
      </c>
      <c r="I155" s="222">
        <v>9.8000000000000004E-2</v>
      </c>
      <c r="J155" s="222">
        <f t="shared" si="72"/>
        <v>9.8000000000000004E-2</v>
      </c>
      <c r="K155" s="239"/>
      <c r="L155" s="292" t="str">
        <f t="shared" si="73"/>
        <v>Actual</v>
      </c>
      <c r="M155" s="222" t="str">
        <f t="shared" ca="1" si="74"/>
        <v>N/A</v>
      </c>
      <c r="N155" s="225"/>
      <c r="O155" s="219" t="str">
        <f t="shared" ca="1" si="75"/>
        <v>N/A</v>
      </c>
      <c r="P155" s="219" t="str">
        <f t="shared" ca="1" si="76"/>
        <v>N/A</v>
      </c>
      <c r="Q155" s="239"/>
      <c r="R155" s="220">
        <v>43482</v>
      </c>
      <c r="S155" s="221" t="s">
        <v>295</v>
      </c>
      <c r="T155" s="240"/>
    </row>
    <row r="156" spans="1:20" s="198" customFormat="1" x14ac:dyDescent="0.25">
      <c r="A156" s="208">
        <v>56</v>
      </c>
      <c r="B156" s="292" t="str">
        <f t="shared" si="70"/>
        <v>Historical</v>
      </c>
      <c r="C156" s="239"/>
      <c r="D156" s="215" t="str">
        <f ca="1">INDEX(INDIRECT(E156),0,COLUMN(MO_Common_Column_A))</f>
        <v>International Paid EOP Streaming Memberships, 000s</v>
      </c>
      <c r="E156" s="216" t="s">
        <v>312</v>
      </c>
      <c r="F156" s="292" t="s">
        <v>315</v>
      </c>
      <c r="G156" s="239"/>
      <c r="H156" s="217">
        <v>88070</v>
      </c>
      <c r="I156" s="217">
        <v>88070</v>
      </c>
      <c r="J156" s="217">
        <f t="shared" si="72"/>
        <v>88070</v>
      </c>
      <c r="K156" s="239"/>
      <c r="L156" s="292" t="str">
        <f t="shared" si="73"/>
        <v>Actual</v>
      </c>
      <c r="M156" s="217">
        <f t="shared" ca="1" si="74"/>
        <v>88634</v>
      </c>
      <c r="N156" s="239"/>
      <c r="O156" s="218">
        <f t="shared" ca="1" si="75"/>
        <v>564</v>
      </c>
      <c r="P156" s="219">
        <f t="shared" ca="1" si="76"/>
        <v>6.4039968207107983E-3</v>
      </c>
      <c r="Q156" s="239"/>
      <c r="R156" s="220">
        <v>43482</v>
      </c>
      <c r="S156" s="221" t="s">
        <v>295</v>
      </c>
      <c r="T156" s="240"/>
    </row>
    <row r="157" spans="1:20" s="198" customFormat="1" x14ac:dyDescent="0.25">
      <c r="A157" s="208">
        <v>55</v>
      </c>
      <c r="B157" s="292" t="str">
        <f t="shared" si="70"/>
        <v>Historical</v>
      </c>
      <c r="C157" s="239"/>
      <c r="D157" s="215" t="str">
        <f ca="1">INDEX(INDIRECT(E157),0,COLUMN(MO_Common_Column_A))</f>
        <v>Net International Paid Streaming Memberships Change, 000s</v>
      </c>
      <c r="E157" s="216" t="s">
        <v>313</v>
      </c>
      <c r="F157" s="292" t="s">
        <v>315</v>
      </c>
      <c r="G157" s="239"/>
      <c r="H157" s="217">
        <v>7300</v>
      </c>
      <c r="I157" s="217">
        <v>7300</v>
      </c>
      <c r="J157" s="217">
        <f t="shared" si="72"/>
        <v>7300</v>
      </c>
      <c r="K157" s="239"/>
      <c r="L157" s="292" t="str">
        <f t="shared" si="73"/>
        <v>Actual</v>
      </c>
      <c r="M157" s="217">
        <f t="shared" ca="1" si="74"/>
        <v>7861</v>
      </c>
      <c r="N157" s="239"/>
      <c r="O157" s="218">
        <f t="shared" ca="1" si="75"/>
        <v>561</v>
      </c>
      <c r="P157" s="219">
        <f t="shared" ca="1" si="76"/>
        <v>7.6849315068493157E-2</v>
      </c>
      <c r="Q157" s="239"/>
      <c r="R157" s="220">
        <v>43482</v>
      </c>
      <c r="S157" s="221" t="s">
        <v>295</v>
      </c>
      <c r="T157" s="240"/>
    </row>
    <row r="158" spans="1:20" s="198" customFormat="1" x14ac:dyDescent="0.25">
      <c r="A158" s="208">
        <v>54</v>
      </c>
      <c r="B158" s="239"/>
      <c r="C158" s="239"/>
      <c r="D158" s="226"/>
      <c r="E158" s="239"/>
      <c r="F158" s="239"/>
      <c r="G158" s="239"/>
      <c r="H158" s="239"/>
      <c r="I158" s="239"/>
      <c r="J158" s="239"/>
      <c r="K158" s="239"/>
      <c r="L158" s="239"/>
      <c r="M158" s="239"/>
      <c r="N158" s="239"/>
      <c r="O158" s="226"/>
      <c r="P158" s="226"/>
      <c r="Q158" s="239"/>
      <c r="R158" s="239"/>
      <c r="S158" s="364"/>
      <c r="T158" s="239"/>
    </row>
    <row r="159" spans="1:20" s="198" customFormat="1" x14ac:dyDescent="0.25">
      <c r="A159" s="208">
        <v>53</v>
      </c>
      <c r="B159" s="292" t="str">
        <f t="shared" ref="B159:B176" si="77">IF(INDEX(MO_SNA_IsHistoricalPeriod,,MATCH(F159,MO_Common_ColumnHeader,0)),"Historical","Forward")</f>
        <v>Historical</v>
      </c>
      <c r="C159" s="239"/>
      <c r="D159" s="215" t="str">
        <f ca="1">INDEX(INDIRECT(E159),0,COLUMN(MO_Common_Column_A))</f>
        <v>Net Revenue</v>
      </c>
      <c r="E159" s="216" t="s">
        <v>293</v>
      </c>
      <c r="F159" s="292" t="s">
        <v>316</v>
      </c>
      <c r="G159" s="239"/>
      <c r="H159" s="217">
        <v>4199</v>
      </c>
      <c r="I159" s="217">
        <v>4199</v>
      </c>
      <c r="J159" s="217">
        <f t="shared" ref="J159:J176" si="78">AVERAGE(H159:I159)</f>
        <v>4199</v>
      </c>
      <c r="K159" s="239"/>
      <c r="L159" s="292" t="str">
        <f t="shared" ref="L159:L176" si="79">IF(INDEX(MO_SNA_IsHistoricalPeriod,,MATCH(F159,MO_Common_ColumnHeader,0)),"Actual","Estimate")</f>
        <v>Actual</v>
      </c>
      <c r="M159" s="217">
        <f t="shared" ref="M159:M176" ca="1" si="80">IFERROR(INDEX(INDIRECT(E159),0,MATCH(F159,MO_Common_ColumnHeader,0)),"N/A")</f>
        <v>4186.8410000000003</v>
      </c>
      <c r="N159" s="239"/>
      <c r="O159" s="218">
        <f t="shared" ref="O159:O176" ca="1" si="81">IF(ISNUMBER(M159),M159-J159,"N/A")</f>
        <v>-12.158999999999651</v>
      </c>
      <c r="P159" s="219">
        <f t="shared" ref="P159:P176" ca="1" si="82">IFERROR(IF(ISNUMBER(M159),(M159-J159)/ABS(J159),"N/A"),"N/A")</f>
        <v>-2.8956894498689332E-3</v>
      </c>
      <c r="Q159" s="239"/>
      <c r="R159" s="220">
        <v>43389</v>
      </c>
      <c r="S159" s="221" t="s">
        <v>295</v>
      </c>
      <c r="T159" s="239"/>
    </row>
    <row r="160" spans="1:20" s="198" customFormat="1" x14ac:dyDescent="0.25">
      <c r="A160" s="208">
        <v>52</v>
      </c>
      <c r="B160" s="292" t="str">
        <f t="shared" si="77"/>
        <v>Historical</v>
      </c>
      <c r="C160" s="239"/>
      <c r="D160" s="215" t="str">
        <f ca="1">INDEX(INDIRECT(E160),0,COLUMN(MO_Common_Column_A))</f>
        <v>Y/Y Total revenue growth, %</v>
      </c>
      <c r="E160" s="216" t="s">
        <v>296</v>
      </c>
      <c r="F160" s="292" t="s">
        <v>316</v>
      </c>
      <c r="G160" s="239"/>
      <c r="H160" s="222">
        <v>0.27800000000000002</v>
      </c>
      <c r="I160" s="222">
        <v>0.27800000000000002</v>
      </c>
      <c r="J160" s="222">
        <f t="shared" si="78"/>
        <v>0.27800000000000002</v>
      </c>
      <c r="K160" s="239"/>
      <c r="L160" s="292" t="str">
        <f t="shared" si="79"/>
        <v>Actual</v>
      </c>
      <c r="M160" s="222">
        <f t="shared" ca="1" si="80"/>
        <v>0.27424016702401732</v>
      </c>
      <c r="N160" s="239"/>
      <c r="O160" s="219">
        <f t="shared" ca="1" si="81"/>
        <v>-3.7598329759827021E-3</v>
      </c>
      <c r="P160" s="219">
        <f t="shared" ca="1" si="82"/>
        <v>-1.3524579050297489E-2</v>
      </c>
      <c r="Q160" s="239"/>
      <c r="R160" s="220">
        <v>43389</v>
      </c>
      <c r="S160" s="221" t="s">
        <v>295</v>
      </c>
      <c r="T160" s="239"/>
    </row>
    <row r="161" spans="1:20" s="198" customFormat="1" x14ac:dyDescent="0.25">
      <c r="A161" s="208">
        <v>51</v>
      </c>
      <c r="B161" s="292" t="str">
        <f t="shared" si="77"/>
        <v>Historical</v>
      </c>
      <c r="C161" s="239"/>
      <c r="D161" s="215" t="str">
        <f ca="1">INDEX(INDIRECT(E161),0,COLUMN(MO_Common_Column_A))</f>
        <v>Net Income to Common Shareholders</v>
      </c>
      <c r="E161" s="216" t="s">
        <v>298</v>
      </c>
      <c r="F161" s="292" t="s">
        <v>316</v>
      </c>
      <c r="G161" s="239"/>
      <c r="H161" s="217">
        <v>105</v>
      </c>
      <c r="I161" s="217">
        <v>105</v>
      </c>
      <c r="J161" s="217">
        <f t="shared" si="78"/>
        <v>105</v>
      </c>
      <c r="K161" s="239"/>
      <c r="L161" s="292" t="str">
        <f t="shared" si="79"/>
        <v>Actual</v>
      </c>
      <c r="M161" s="217">
        <f t="shared" ca="1" si="80"/>
        <v>133.93400000000008</v>
      </c>
      <c r="N161" s="239"/>
      <c r="O161" s="218">
        <f t="shared" ca="1" si="81"/>
        <v>28.934000000000083</v>
      </c>
      <c r="P161" s="219">
        <f t="shared" ca="1" si="82"/>
        <v>0.27556190476190556</v>
      </c>
      <c r="Q161" s="239"/>
      <c r="R161" s="220">
        <v>43389</v>
      </c>
      <c r="S161" s="221" t="s">
        <v>295</v>
      </c>
      <c r="T161" s="239"/>
    </row>
    <row r="162" spans="1:20" s="198" customFormat="1" x14ac:dyDescent="0.25">
      <c r="A162" s="208">
        <v>50</v>
      </c>
      <c r="B162" s="292" t="str">
        <f t="shared" si="77"/>
        <v>Historical</v>
      </c>
      <c r="C162" s="239"/>
      <c r="D162" s="215" t="str">
        <f ca="1">INDEX(INDIRECT(E162),0,COLUMN(MO_Common_Column_A))</f>
        <v>Earnings Per Share - WAD</v>
      </c>
      <c r="E162" s="216" t="s">
        <v>299</v>
      </c>
      <c r="F162" s="292" t="s">
        <v>316</v>
      </c>
      <c r="G162" s="239"/>
      <c r="H162" s="223">
        <v>0.23</v>
      </c>
      <c r="I162" s="223">
        <v>0.23</v>
      </c>
      <c r="J162" s="223">
        <f t="shared" si="78"/>
        <v>0.23</v>
      </c>
      <c r="K162" s="239"/>
      <c r="L162" s="292" t="str">
        <f t="shared" si="79"/>
        <v>Actual</v>
      </c>
      <c r="M162" s="223">
        <f t="shared" ca="1" si="80"/>
        <v>0.29689481197740736</v>
      </c>
      <c r="N162" s="239"/>
      <c r="O162" s="224">
        <f t="shared" ca="1" si="81"/>
        <v>6.6894811977407348E-2</v>
      </c>
      <c r="P162" s="219">
        <f t="shared" ca="1" si="82"/>
        <v>0.29084700859742324</v>
      </c>
      <c r="Q162" s="239"/>
      <c r="R162" s="220">
        <v>43389</v>
      </c>
      <c r="S162" s="221" t="s">
        <v>295</v>
      </c>
      <c r="T162" s="239"/>
    </row>
    <row r="163" spans="1:20" s="198" customFormat="1" x14ac:dyDescent="0.25">
      <c r="A163" s="208">
        <v>49</v>
      </c>
      <c r="B163" s="292" t="str">
        <f t="shared" si="77"/>
        <v>Historical</v>
      </c>
      <c r="C163" s="239"/>
      <c r="D163" s="215" t="str">
        <f ca="1">INDEX(INDIRECT(E163),0,COLUMN(MO_Common_Column_A))</f>
        <v>Domestic Streaming Revenue, mm</v>
      </c>
      <c r="E163" s="216" t="s">
        <v>300</v>
      </c>
      <c r="F163" s="292" t="s">
        <v>316</v>
      </c>
      <c r="G163" s="239"/>
      <c r="H163" s="217">
        <v>1995</v>
      </c>
      <c r="I163" s="217">
        <v>1995</v>
      </c>
      <c r="J163" s="217">
        <f t="shared" si="78"/>
        <v>1995</v>
      </c>
      <c r="K163" s="239"/>
      <c r="L163" s="292" t="str">
        <f t="shared" si="79"/>
        <v>Actual</v>
      </c>
      <c r="M163" s="217">
        <f t="shared" ca="1" si="80"/>
        <v>1996.0919999999999</v>
      </c>
      <c r="N163" s="239"/>
      <c r="O163" s="218">
        <f t="shared" ca="1" si="81"/>
        <v>1.0919999999998709</v>
      </c>
      <c r="P163" s="219">
        <f t="shared" ca="1" si="82"/>
        <v>5.4736842105256684E-4</v>
      </c>
      <c r="Q163" s="239"/>
      <c r="R163" s="220">
        <v>43389</v>
      </c>
      <c r="S163" s="221" t="s">
        <v>295</v>
      </c>
      <c r="T163" s="239"/>
    </row>
    <row r="164" spans="1:20" s="198" customFormat="1" x14ac:dyDescent="0.25">
      <c r="A164" s="208">
        <v>48</v>
      </c>
      <c r="B164" s="292" t="str">
        <f t="shared" si="77"/>
        <v>Historical</v>
      </c>
      <c r="C164" s="239"/>
      <c r="D164" s="215" t="s">
        <v>301</v>
      </c>
      <c r="E164" s="216" t="s">
        <v>302</v>
      </c>
      <c r="F164" s="292" t="s">
        <v>316</v>
      </c>
      <c r="G164" s="239"/>
      <c r="H164" s="217">
        <v>663</v>
      </c>
      <c r="I164" s="217">
        <v>663</v>
      </c>
      <c r="J164" s="217">
        <f t="shared" si="78"/>
        <v>663</v>
      </c>
      <c r="K164" s="239"/>
      <c r="L164" s="292" t="str">
        <f t="shared" si="79"/>
        <v>Actual</v>
      </c>
      <c r="M164" s="217">
        <f t="shared" ca="1" si="80"/>
        <v>589.90699999999993</v>
      </c>
      <c r="N164" s="841"/>
      <c r="O164" s="218">
        <f t="shared" ca="1" si="81"/>
        <v>-73.093000000000075</v>
      </c>
      <c r="P164" s="219">
        <f t="shared" ca="1" si="82"/>
        <v>-0.11024585218702877</v>
      </c>
      <c r="Q164" s="239"/>
      <c r="R164" s="220">
        <v>43389</v>
      </c>
      <c r="S164" s="221" t="s">
        <v>295</v>
      </c>
      <c r="T164" s="239"/>
    </row>
    <row r="165" spans="1:20" s="198" customFormat="1" x14ac:dyDescent="0.25">
      <c r="A165" s="208">
        <v>47</v>
      </c>
      <c r="B165" s="292" t="str">
        <f t="shared" si="77"/>
        <v>Historical</v>
      </c>
      <c r="C165" s="239"/>
      <c r="D165" s="215" t="s">
        <v>303</v>
      </c>
      <c r="E165" s="216"/>
      <c r="F165" s="292" t="s">
        <v>316</v>
      </c>
      <c r="G165" s="239"/>
      <c r="H165" s="222">
        <v>0.33200000000000002</v>
      </c>
      <c r="I165" s="222">
        <v>0.33200000000000002</v>
      </c>
      <c r="J165" s="222">
        <f t="shared" si="78"/>
        <v>0.33200000000000002</v>
      </c>
      <c r="K165" s="239"/>
      <c r="L165" s="292" t="str">
        <f t="shared" si="79"/>
        <v>Actual</v>
      </c>
      <c r="M165" s="222" t="str">
        <f t="shared" ca="1" si="80"/>
        <v>N/A</v>
      </c>
      <c r="N165" s="239"/>
      <c r="O165" s="219" t="str">
        <f t="shared" ca="1" si="81"/>
        <v>N/A</v>
      </c>
      <c r="P165" s="219" t="str">
        <f t="shared" ca="1" si="82"/>
        <v>N/A</v>
      </c>
      <c r="Q165" s="239"/>
      <c r="R165" s="220">
        <v>43389</v>
      </c>
      <c r="S165" s="221" t="s">
        <v>295</v>
      </c>
      <c r="T165" s="239"/>
    </row>
    <row r="166" spans="1:20" s="198" customFormat="1" x14ac:dyDescent="0.25">
      <c r="A166" s="208">
        <v>46</v>
      </c>
      <c r="B166" s="292" t="str">
        <f t="shared" si="77"/>
        <v>Historical</v>
      </c>
      <c r="C166" s="239"/>
      <c r="D166" s="215" t="str">
        <f ca="1">INDEX(INDIRECT(E166),0,COLUMN(MO_Common_Column_A))</f>
        <v>Domestic Paid EOP Streaming Memberships, 000s</v>
      </c>
      <c r="E166" s="216" t="s">
        <v>304</v>
      </c>
      <c r="F166" s="292" t="s">
        <v>316</v>
      </c>
      <c r="G166" s="239"/>
      <c r="H166" s="217">
        <v>58460</v>
      </c>
      <c r="I166" s="217">
        <v>58460</v>
      </c>
      <c r="J166" s="217">
        <f t="shared" si="78"/>
        <v>58460</v>
      </c>
      <c r="K166" s="239"/>
      <c r="L166" s="292" t="str">
        <f t="shared" si="79"/>
        <v>Actual</v>
      </c>
      <c r="M166" s="217">
        <f t="shared" ca="1" si="80"/>
        <v>58486</v>
      </c>
      <c r="N166" s="239"/>
      <c r="O166" s="218">
        <f t="shared" ca="1" si="81"/>
        <v>26</v>
      </c>
      <c r="P166" s="219">
        <f t="shared" ca="1" si="82"/>
        <v>4.4474854601436877E-4</v>
      </c>
      <c r="Q166" s="239"/>
      <c r="R166" s="220">
        <v>43389</v>
      </c>
      <c r="S166" s="221" t="s">
        <v>295</v>
      </c>
      <c r="T166" s="239"/>
    </row>
    <row r="167" spans="1:20" s="198" customFormat="1" x14ac:dyDescent="0.25">
      <c r="A167" s="208">
        <v>45</v>
      </c>
      <c r="B167" s="292" t="str">
        <f t="shared" si="77"/>
        <v>Historical</v>
      </c>
      <c r="C167" s="239"/>
      <c r="D167" s="215" t="str">
        <f ca="1">INDEX(INDIRECT(E167),0,COLUMN(MO_Common_Column_A))</f>
        <v>Net Domestic Paid Streaming Memberships Change, 000s</v>
      </c>
      <c r="E167" s="216" t="s">
        <v>305</v>
      </c>
      <c r="F167" s="292" t="s">
        <v>316</v>
      </c>
      <c r="G167" s="239"/>
      <c r="H167" s="217">
        <v>1500</v>
      </c>
      <c r="I167" s="217">
        <v>1500</v>
      </c>
      <c r="J167" s="217">
        <f t="shared" si="78"/>
        <v>1500</v>
      </c>
      <c r="K167" s="239"/>
      <c r="L167" s="292" t="str">
        <f t="shared" si="79"/>
        <v>Actual</v>
      </c>
      <c r="M167" s="217">
        <f t="shared" ca="1" si="80"/>
        <v>1529</v>
      </c>
      <c r="N167" s="239"/>
      <c r="O167" s="218">
        <f t="shared" ca="1" si="81"/>
        <v>29</v>
      </c>
      <c r="P167" s="219">
        <f t="shared" ca="1" si="82"/>
        <v>1.9333333333333334E-2</v>
      </c>
      <c r="Q167" s="239"/>
      <c r="R167" s="220">
        <v>43389</v>
      </c>
      <c r="S167" s="221" t="s">
        <v>295</v>
      </c>
      <c r="T167" s="239"/>
    </row>
    <row r="168" spans="1:20" s="198" customFormat="1" x14ac:dyDescent="0.25">
      <c r="A168" s="208">
        <v>44</v>
      </c>
      <c r="B168" s="292" t="str">
        <f t="shared" si="77"/>
        <v>Historical</v>
      </c>
      <c r="C168" s="239"/>
      <c r="D168" s="215" t="s">
        <v>317</v>
      </c>
      <c r="E168" s="216"/>
      <c r="F168" s="292" t="s">
        <v>316</v>
      </c>
      <c r="G168" s="239"/>
      <c r="H168" s="217">
        <v>60.26</v>
      </c>
      <c r="I168" s="217">
        <v>60.26</v>
      </c>
      <c r="J168" s="217">
        <f t="shared" si="78"/>
        <v>60.26</v>
      </c>
      <c r="K168" s="239"/>
      <c r="L168" s="292" t="str">
        <f t="shared" si="79"/>
        <v>Actual</v>
      </c>
      <c r="M168" s="217" t="str">
        <f t="shared" ca="1" si="80"/>
        <v>N/A</v>
      </c>
      <c r="N168" s="239"/>
      <c r="O168" s="218" t="str">
        <f t="shared" ca="1" si="81"/>
        <v>N/A</v>
      </c>
      <c r="P168" s="219" t="str">
        <f t="shared" ca="1" si="82"/>
        <v>N/A</v>
      </c>
      <c r="Q168" s="239"/>
      <c r="R168" s="220">
        <v>43389</v>
      </c>
      <c r="S168" s="221" t="s">
        <v>295</v>
      </c>
      <c r="T168" s="239"/>
    </row>
    <row r="169" spans="1:20" s="198" customFormat="1" x14ac:dyDescent="0.25">
      <c r="A169" s="208">
        <v>43</v>
      </c>
      <c r="B169" s="292" t="str">
        <f t="shared" si="77"/>
        <v>Historical</v>
      </c>
      <c r="C169" s="239"/>
      <c r="D169" s="215" t="s">
        <v>307</v>
      </c>
      <c r="E169" s="216"/>
      <c r="F169" s="292" t="s">
        <v>316</v>
      </c>
      <c r="G169" s="239"/>
      <c r="H169" s="217">
        <v>1.8</v>
      </c>
      <c r="I169" s="217">
        <v>1.8</v>
      </c>
      <c r="J169" s="217">
        <f t="shared" si="78"/>
        <v>1.8</v>
      </c>
      <c r="K169" s="239"/>
      <c r="L169" s="292" t="str">
        <f t="shared" si="79"/>
        <v>Actual</v>
      </c>
      <c r="M169" s="217" t="str">
        <f t="shared" ca="1" si="80"/>
        <v>N/A</v>
      </c>
      <c r="N169" s="239"/>
      <c r="O169" s="218" t="str">
        <f t="shared" ca="1" si="81"/>
        <v>N/A</v>
      </c>
      <c r="P169" s="219" t="str">
        <f t="shared" ca="1" si="82"/>
        <v>N/A</v>
      </c>
      <c r="Q169" s="239"/>
      <c r="R169" s="220">
        <v>43389</v>
      </c>
      <c r="S169" s="221" t="s">
        <v>295</v>
      </c>
      <c r="T169" s="239"/>
    </row>
    <row r="170" spans="1:20" s="198" customFormat="1" x14ac:dyDescent="0.25">
      <c r="A170" s="208">
        <v>42</v>
      </c>
      <c r="B170" s="292" t="str">
        <f t="shared" si="77"/>
        <v>Historical</v>
      </c>
      <c r="C170" s="239"/>
      <c r="D170" s="215" t="str">
        <f ca="1">INDEX(INDIRECT(E170),0,COLUMN(MO_Common_Column_A))</f>
        <v>International Streaming Revenue, mm</v>
      </c>
      <c r="E170" s="216" t="s">
        <v>308</v>
      </c>
      <c r="F170" s="292" t="s">
        <v>316</v>
      </c>
      <c r="G170" s="239"/>
      <c r="H170" s="217">
        <v>2119</v>
      </c>
      <c r="I170" s="217">
        <v>2119</v>
      </c>
      <c r="J170" s="217">
        <f t="shared" si="78"/>
        <v>2119</v>
      </c>
      <c r="K170" s="239"/>
      <c r="L170" s="292" t="str">
        <f t="shared" si="79"/>
        <v>Actual</v>
      </c>
      <c r="M170" s="217">
        <f t="shared" ca="1" si="80"/>
        <v>2105.5919999999992</v>
      </c>
      <c r="N170" s="239"/>
      <c r="O170" s="218">
        <f t="shared" ca="1" si="81"/>
        <v>-13.408000000000811</v>
      </c>
      <c r="P170" s="219">
        <f t="shared" ca="1" si="82"/>
        <v>-6.3275129778201092E-3</v>
      </c>
      <c r="Q170" s="239"/>
      <c r="R170" s="220">
        <v>43389</v>
      </c>
      <c r="S170" s="221" t="s">
        <v>295</v>
      </c>
      <c r="T170" s="239"/>
    </row>
    <row r="171" spans="1:20" s="198" customFormat="1" x14ac:dyDescent="0.25">
      <c r="A171" s="208">
        <v>41</v>
      </c>
      <c r="B171" s="292" t="str">
        <f t="shared" si="77"/>
        <v>Historical</v>
      </c>
      <c r="C171" s="239"/>
      <c r="D171" s="215" t="s">
        <v>309</v>
      </c>
      <c r="E171" s="216" t="s">
        <v>310</v>
      </c>
      <c r="F171" s="292" t="s">
        <v>316</v>
      </c>
      <c r="G171" s="239"/>
      <c r="H171" s="217">
        <v>211</v>
      </c>
      <c r="I171" s="217">
        <v>211</v>
      </c>
      <c r="J171" s="217">
        <f t="shared" si="78"/>
        <v>211</v>
      </c>
      <c r="K171" s="239"/>
      <c r="L171" s="292" t="str">
        <f t="shared" si="79"/>
        <v>Actual</v>
      </c>
      <c r="M171" s="217">
        <f t="shared" ca="1" si="80"/>
        <v>81.700999999999112</v>
      </c>
      <c r="N171" s="239"/>
      <c r="O171" s="218">
        <f t="shared" ca="1" si="81"/>
        <v>-129.29900000000089</v>
      </c>
      <c r="P171" s="219">
        <f t="shared" ca="1" si="82"/>
        <v>-0.61279146919431704</v>
      </c>
      <c r="Q171" s="239"/>
      <c r="R171" s="220">
        <v>43389</v>
      </c>
      <c r="S171" s="221" t="s">
        <v>295</v>
      </c>
      <c r="T171" s="239"/>
    </row>
    <row r="172" spans="1:20" s="198" customFormat="1" x14ac:dyDescent="0.25">
      <c r="A172" s="208">
        <v>40</v>
      </c>
      <c r="B172" s="292" t="str">
        <f t="shared" si="77"/>
        <v>Historical</v>
      </c>
      <c r="C172" s="239"/>
      <c r="D172" s="215" t="s">
        <v>311</v>
      </c>
      <c r="E172" s="216"/>
      <c r="F172" s="292" t="s">
        <v>316</v>
      </c>
      <c r="G172" s="239"/>
      <c r="H172" s="222">
        <v>0.1</v>
      </c>
      <c r="I172" s="222">
        <v>0.1</v>
      </c>
      <c r="J172" s="222">
        <f t="shared" si="78"/>
        <v>0.1</v>
      </c>
      <c r="K172" s="239"/>
      <c r="L172" s="292" t="str">
        <f t="shared" si="79"/>
        <v>Actual</v>
      </c>
      <c r="M172" s="222" t="str">
        <f t="shared" ca="1" si="80"/>
        <v>N/A</v>
      </c>
      <c r="N172" s="225"/>
      <c r="O172" s="219" t="str">
        <f t="shared" ca="1" si="81"/>
        <v>N/A</v>
      </c>
      <c r="P172" s="219" t="str">
        <f t="shared" ca="1" si="82"/>
        <v>N/A</v>
      </c>
      <c r="Q172" s="239"/>
      <c r="R172" s="220">
        <v>43389</v>
      </c>
      <c r="S172" s="221" t="s">
        <v>295</v>
      </c>
      <c r="T172" s="239"/>
    </row>
    <row r="173" spans="1:20" s="198" customFormat="1" x14ac:dyDescent="0.25">
      <c r="A173" s="208">
        <v>39</v>
      </c>
      <c r="B173" s="292" t="str">
        <f t="shared" si="77"/>
        <v>Historical</v>
      </c>
      <c r="C173" s="239"/>
      <c r="D173" s="215" t="str">
        <f ca="1">INDEX(INDIRECT(E173),0,COLUMN(MO_Common_Column_A))</f>
        <v>International Paid EOP Streaming Memberships, 000s</v>
      </c>
      <c r="E173" s="216" t="s">
        <v>312</v>
      </c>
      <c r="F173" s="292" t="s">
        <v>316</v>
      </c>
      <c r="G173" s="239"/>
      <c r="H173" s="217">
        <v>79560</v>
      </c>
      <c r="I173" s="217">
        <v>79560</v>
      </c>
      <c r="J173" s="217">
        <f t="shared" si="78"/>
        <v>79560</v>
      </c>
      <c r="K173" s="239"/>
      <c r="L173" s="292" t="str">
        <f t="shared" si="79"/>
        <v>Actual</v>
      </c>
      <c r="M173" s="217">
        <f t="shared" ca="1" si="80"/>
        <v>80773</v>
      </c>
      <c r="N173" s="239"/>
      <c r="O173" s="218">
        <f t="shared" ca="1" si="81"/>
        <v>1213</v>
      </c>
      <c r="P173" s="219">
        <f t="shared" ca="1" si="82"/>
        <v>1.5246354952237305E-2</v>
      </c>
      <c r="Q173" s="239"/>
      <c r="R173" s="220">
        <v>43389</v>
      </c>
      <c r="S173" s="221" t="s">
        <v>295</v>
      </c>
      <c r="T173" s="239"/>
    </row>
    <row r="174" spans="1:20" s="198" customFormat="1" x14ac:dyDescent="0.25">
      <c r="A174" s="208">
        <v>38</v>
      </c>
      <c r="B174" s="292" t="str">
        <f t="shared" si="77"/>
        <v>Historical</v>
      </c>
      <c r="C174" s="239"/>
      <c r="D174" s="215" t="str">
        <f ca="1">INDEX(INDIRECT(E174),0,COLUMN(MO_Common_Column_A))</f>
        <v>Net International Paid Streaming Memberships Change, 000s</v>
      </c>
      <c r="E174" s="216" t="s">
        <v>313</v>
      </c>
      <c r="F174" s="292" t="s">
        <v>316</v>
      </c>
      <c r="G174" s="239"/>
      <c r="H174" s="217">
        <v>6100</v>
      </c>
      <c r="I174" s="217">
        <v>6100</v>
      </c>
      <c r="J174" s="217">
        <f t="shared" si="78"/>
        <v>6100</v>
      </c>
      <c r="K174" s="239"/>
      <c r="L174" s="292" t="str">
        <f t="shared" si="79"/>
        <v>Actual</v>
      </c>
      <c r="M174" s="217">
        <f t="shared" ca="1" si="80"/>
        <v>7308</v>
      </c>
      <c r="N174" s="239"/>
      <c r="O174" s="218">
        <f t="shared" ca="1" si="81"/>
        <v>1208</v>
      </c>
      <c r="P174" s="219">
        <f t="shared" ca="1" si="82"/>
        <v>0.19803278688524589</v>
      </c>
      <c r="Q174" s="239"/>
      <c r="R174" s="220">
        <v>43389</v>
      </c>
      <c r="S174" s="221" t="s">
        <v>295</v>
      </c>
      <c r="T174" s="239"/>
    </row>
    <row r="175" spans="1:20" s="198" customFormat="1" x14ac:dyDescent="0.25">
      <c r="A175" s="208">
        <v>37</v>
      </c>
      <c r="B175" s="292" t="str">
        <f t="shared" si="77"/>
        <v>Historical</v>
      </c>
      <c r="C175" s="239"/>
      <c r="D175" s="215" t="s">
        <v>318</v>
      </c>
      <c r="E175" s="216"/>
      <c r="F175" s="292" t="s">
        <v>316</v>
      </c>
      <c r="G175" s="239"/>
      <c r="H175" s="217">
        <v>86.24</v>
      </c>
      <c r="I175" s="217">
        <v>86.24</v>
      </c>
      <c r="J175" s="217">
        <f t="shared" si="78"/>
        <v>86.24</v>
      </c>
      <c r="K175" s="239"/>
      <c r="L175" s="292" t="str">
        <f t="shared" si="79"/>
        <v>Actual</v>
      </c>
      <c r="M175" s="217" t="str">
        <f t="shared" ca="1" si="80"/>
        <v>N/A</v>
      </c>
      <c r="N175" s="239"/>
      <c r="O175" s="218" t="str">
        <f t="shared" ca="1" si="81"/>
        <v>N/A</v>
      </c>
      <c r="P175" s="219" t="str">
        <f t="shared" ca="1" si="82"/>
        <v>N/A</v>
      </c>
      <c r="Q175" s="239"/>
      <c r="R175" s="220">
        <v>43389</v>
      </c>
      <c r="S175" s="221" t="s">
        <v>295</v>
      </c>
      <c r="T175" s="239"/>
    </row>
    <row r="176" spans="1:20" s="198" customFormat="1" x14ac:dyDescent="0.25">
      <c r="A176" s="208">
        <v>36</v>
      </c>
      <c r="B176" s="292" t="str">
        <f t="shared" si="77"/>
        <v>Historical</v>
      </c>
      <c r="C176" s="239"/>
      <c r="D176" s="215" t="s">
        <v>314</v>
      </c>
      <c r="E176" s="216"/>
      <c r="F176" s="292" t="s">
        <v>316</v>
      </c>
      <c r="G176" s="239"/>
      <c r="H176" s="217">
        <v>7.6</v>
      </c>
      <c r="I176" s="217">
        <v>7.6</v>
      </c>
      <c r="J176" s="217">
        <f t="shared" si="78"/>
        <v>7.6</v>
      </c>
      <c r="K176" s="239"/>
      <c r="L176" s="292" t="str">
        <f t="shared" si="79"/>
        <v>Actual</v>
      </c>
      <c r="M176" s="217" t="str">
        <f t="shared" ca="1" si="80"/>
        <v>N/A</v>
      </c>
      <c r="N176" s="239"/>
      <c r="O176" s="218" t="str">
        <f t="shared" ca="1" si="81"/>
        <v>N/A</v>
      </c>
      <c r="P176" s="219" t="str">
        <f t="shared" ca="1" si="82"/>
        <v>N/A</v>
      </c>
      <c r="Q176" s="239"/>
      <c r="R176" s="220">
        <v>43389</v>
      </c>
      <c r="S176" s="221" t="s">
        <v>295</v>
      </c>
      <c r="T176" s="239"/>
    </row>
    <row r="177" spans="1:20" s="198" customFormat="1" x14ac:dyDescent="0.25">
      <c r="A177" s="208">
        <v>35</v>
      </c>
      <c r="B177" s="239"/>
      <c r="C177" s="239"/>
      <c r="D177" s="226"/>
      <c r="E177" s="227"/>
      <c r="F177" s="239"/>
      <c r="G177" s="239"/>
      <c r="H177" s="841"/>
      <c r="I177" s="841"/>
      <c r="J177" s="841"/>
      <c r="K177" s="239"/>
      <c r="L177" s="239"/>
      <c r="M177" s="841"/>
      <c r="N177" s="239"/>
      <c r="O177" s="228"/>
      <c r="P177" s="122"/>
      <c r="Q177" s="239"/>
      <c r="R177" s="229"/>
      <c r="S177" s="230"/>
      <c r="T177" s="239"/>
    </row>
    <row r="178" spans="1:20" s="198" customFormat="1" x14ac:dyDescent="0.25">
      <c r="A178" s="208">
        <v>34</v>
      </c>
      <c r="B178" s="292" t="str">
        <f t="shared" ref="B178:B197" si="83">IF(INDEX(MO_SNA_IsHistoricalPeriod,,MATCH(F178,MO_Common_ColumnHeader,0)),"Historical","Forward")</f>
        <v>Historical</v>
      </c>
      <c r="C178" s="239"/>
      <c r="D178" s="215" t="str">
        <f t="shared" ref="D178:D184" ca="1" si="84">INDEX(INDIRECT(E178),0,COLUMN(MO_Common_Column_A))</f>
        <v>Net Revenue</v>
      </c>
      <c r="E178" s="216" t="s">
        <v>293</v>
      </c>
      <c r="F178" s="292" t="s">
        <v>319</v>
      </c>
      <c r="G178" s="239"/>
      <c r="H178" s="217">
        <v>3988</v>
      </c>
      <c r="I178" s="217">
        <v>3988</v>
      </c>
      <c r="J178" s="217">
        <f t="shared" ref="J178:J197" si="85">AVERAGE(H178:I178)</f>
        <v>3988</v>
      </c>
      <c r="K178" s="239"/>
      <c r="L178" s="292" t="str">
        <f t="shared" ref="L178:L197" si="86">IF(INDEX(MO_SNA_IsHistoricalPeriod,,MATCH(F178,MO_Common_ColumnHeader,0)),"Actual","Estimate")</f>
        <v>Actual</v>
      </c>
      <c r="M178" s="217">
        <f t="shared" ref="M178:M197" ca="1" si="87">IFERROR(INDEX(INDIRECT(E178),0,MATCH(F178,MO_Common_ColumnHeader,0)),"N/A")</f>
        <v>3999.3739999999998</v>
      </c>
      <c r="N178" s="239"/>
      <c r="O178" s="218">
        <f t="shared" ref="O178:O197" ca="1" si="88">IF(ISNUMBER(M178),M178-J178,"N/A")</f>
        <v>11.373999999999796</v>
      </c>
      <c r="P178" s="219">
        <f t="shared" ref="P178:P197" ca="1" si="89">IFERROR(IF(ISNUMBER(M178),(M178-J178)/ABS(J178),"N/A"),"N/A")</f>
        <v>2.8520561685054656E-3</v>
      </c>
      <c r="Q178" s="239"/>
      <c r="R178" s="220">
        <v>43297</v>
      </c>
      <c r="S178" s="221" t="s">
        <v>295</v>
      </c>
      <c r="T178" s="239"/>
    </row>
    <row r="179" spans="1:20" s="198" customFormat="1" x14ac:dyDescent="0.25">
      <c r="A179" s="208">
        <v>33</v>
      </c>
      <c r="B179" s="292" t="str">
        <f t="shared" si="83"/>
        <v>Historical</v>
      </c>
      <c r="C179" s="239"/>
      <c r="D179" s="215" t="str">
        <f t="shared" ca="1" si="84"/>
        <v>Y/Y Total revenue growth, %</v>
      </c>
      <c r="E179" s="216" t="s">
        <v>296</v>
      </c>
      <c r="F179" s="292" t="s">
        <v>319</v>
      </c>
      <c r="G179" s="239"/>
      <c r="H179" s="222">
        <v>0.33600000000000002</v>
      </c>
      <c r="I179" s="222">
        <v>0.33600000000000002</v>
      </c>
      <c r="J179" s="222">
        <f t="shared" si="85"/>
        <v>0.33600000000000002</v>
      </c>
      <c r="K179" s="239"/>
      <c r="L179" s="292" t="str">
        <f t="shared" si="86"/>
        <v>Actual</v>
      </c>
      <c r="M179" s="222">
        <f t="shared" ca="1" si="87"/>
        <v>0.33988707674298846</v>
      </c>
      <c r="N179" s="239"/>
      <c r="O179" s="219">
        <f t="shared" ca="1" si="88"/>
        <v>3.8870767429884379E-3</v>
      </c>
      <c r="P179" s="219">
        <f t="shared" ca="1" si="89"/>
        <v>1.1568680782703683E-2</v>
      </c>
      <c r="Q179" s="239"/>
      <c r="R179" s="220">
        <v>43297</v>
      </c>
      <c r="S179" s="221" t="s">
        <v>295</v>
      </c>
      <c r="T179" s="239"/>
    </row>
    <row r="180" spans="1:20" s="198" customFormat="1" x14ac:dyDescent="0.25">
      <c r="A180" s="208">
        <v>32</v>
      </c>
      <c r="B180" s="292" t="str">
        <f t="shared" si="83"/>
        <v>Historical</v>
      </c>
      <c r="C180" s="239"/>
      <c r="D180" s="215" t="str">
        <f t="shared" ca="1" si="84"/>
        <v>EBITDA</v>
      </c>
      <c r="E180" s="216" t="s">
        <v>320</v>
      </c>
      <c r="F180" s="292" t="s">
        <v>319</v>
      </c>
      <c r="G180" s="239"/>
      <c r="H180" s="217">
        <v>420</v>
      </c>
      <c r="I180" s="217">
        <v>420</v>
      </c>
      <c r="J180" s="217">
        <f t="shared" si="85"/>
        <v>420</v>
      </c>
      <c r="K180" s="239"/>
      <c r="L180" s="292" t="str">
        <f t="shared" si="86"/>
        <v>Actual</v>
      </c>
      <c r="M180" s="217">
        <f t="shared" ca="1" si="87"/>
        <v>584.14499999999964</v>
      </c>
      <c r="N180" s="239"/>
      <c r="O180" s="218">
        <f t="shared" ca="1" si="88"/>
        <v>164.14499999999964</v>
      </c>
      <c r="P180" s="219">
        <f t="shared" ca="1" si="89"/>
        <v>0.39082142857142771</v>
      </c>
      <c r="Q180" s="239"/>
      <c r="R180" s="220">
        <v>43297</v>
      </c>
      <c r="S180" s="221" t="s">
        <v>295</v>
      </c>
      <c r="T180" s="239"/>
    </row>
    <row r="181" spans="1:20" s="198" customFormat="1" x14ac:dyDescent="0.25">
      <c r="A181" s="208">
        <v>31</v>
      </c>
      <c r="B181" s="292" t="str">
        <f t="shared" si="83"/>
        <v>Historical</v>
      </c>
      <c r="C181" s="239"/>
      <c r="D181" s="215" t="str">
        <f t="shared" ca="1" si="84"/>
        <v>EBITDA Margin, %</v>
      </c>
      <c r="E181" s="216" t="s">
        <v>321</v>
      </c>
      <c r="F181" s="292" t="s">
        <v>319</v>
      </c>
      <c r="G181" s="239"/>
      <c r="H181" s="222">
        <v>0.105</v>
      </c>
      <c r="I181" s="222">
        <v>0.105</v>
      </c>
      <c r="J181" s="222">
        <f t="shared" si="85"/>
        <v>0.105</v>
      </c>
      <c r="K181" s="239"/>
      <c r="L181" s="292" t="str">
        <f t="shared" si="86"/>
        <v>Actual</v>
      </c>
      <c r="M181" s="222">
        <f t="shared" ca="1" si="87"/>
        <v>0.14605910825044111</v>
      </c>
      <c r="N181" s="239"/>
      <c r="O181" s="219">
        <f t="shared" ca="1" si="88"/>
        <v>4.1059108250441109E-2</v>
      </c>
      <c r="P181" s="219">
        <f t="shared" ca="1" si="89"/>
        <v>0.39103912619467723</v>
      </c>
      <c r="Q181" s="239"/>
      <c r="R181" s="220">
        <v>43297</v>
      </c>
      <c r="S181" s="221" t="s">
        <v>295</v>
      </c>
      <c r="T181" s="239"/>
    </row>
    <row r="182" spans="1:20" s="198" customFormat="1" x14ac:dyDescent="0.25">
      <c r="A182" s="208">
        <v>30</v>
      </c>
      <c r="B182" s="292" t="str">
        <f t="shared" si="83"/>
        <v>Historical</v>
      </c>
      <c r="C182" s="239"/>
      <c r="D182" s="215" t="str">
        <f t="shared" ca="1" si="84"/>
        <v>Net Income to Common Shareholders</v>
      </c>
      <c r="E182" s="216" t="s">
        <v>298</v>
      </c>
      <c r="F182" s="292" t="s">
        <v>319</v>
      </c>
      <c r="G182" s="239"/>
      <c r="H182" s="217">
        <v>307</v>
      </c>
      <c r="I182" s="217">
        <v>307</v>
      </c>
      <c r="J182" s="217">
        <f t="shared" si="85"/>
        <v>307</v>
      </c>
      <c r="K182" s="239"/>
      <c r="L182" s="292" t="str">
        <f t="shared" si="86"/>
        <v>Actual</v>
      </c>
      <c r="M182" s="217">
        <f t="shared" ca="1" si="87"/>
        <v>402.83499999999964</v>
      </c>
      <c r="N182" s="239"/>
      <c r="O182" s="218">
        <f t="shared" ca="1" si="88"/>
        <v>95.834999999999638</v>
      </c>
      <c r="P182" s="219">
        <f t="shared" ca="1" si="89"/>
        <v>0.31216612377850045</v>
      </c>
      <c r="Q182" s="239"/>
      <c r="R182" s="220">
        <v>43297</v>
      </c>
      <c r="S182" s="221" t="s">
        <v>295</v>
      </c>
      <c r="T182" s="239"/>
    </row>
    <row r="183" spans="1:20" s="198" customFormat="1" x14ac:dyDescent="0.25">
      <c r="A183" s="208">
        <v>29</v>
      </c>
      <c r="B183" s="292" t="str">
        <f t="shared" si="83"/>
        <v>Historical</v>
      </c>
      <c r="C183" s="239"/>
      <c r="D183" s="215" t="str">
        <f t="shared" ca="1" si="84"/>
        <v>Earnings Per Share - WAD</v>
      </c>
      <c r="E183" s="216" t="s">
        <v>299</v>
      </c>
      <c r="F183" s="292" t="s">
        <v>319</v>
      </c>
      <c r="G183" s="239"/>
      <c r="H183" s="223">
        <v>0.68</v>
      </c>
      <c r="I183" s="223">
        <v>0.68</v>
      </c>
      <c r="J183" s="223">
        <f t="shared" si="85"/>
        <v>0.68</v>
      </c>
      <c r="K183" s="239"/>
      <c r="L183" s="292" t="str">
        <f t="shared" si="86"/>
        <v>Actual</v>
      </c>
      <c r="M183" s="223">
        <f t="shared" ca="1" si="87"/>
        <v>0.89138761592232163</v>
      </c>
      <c r="N183" s="239"/>
      <c r="O183" s="224">
        <f t="shared" ca="1" si="88"/>
        <v>0.21138761592232158</v>
      </c>
      <c r="P183" s="219">
        <f t="shared" ca="1" si="89"/>
        <v>0.31086414106223759</v>
      </c>
      <c r="Q183" s="239"/>
      <c r="R183" s="220">
        <v>43297</v>
      </c>
      <c r="S183" s="221" t="s">
        <v>295</v>
      </c>
      <c r="T183" s="239"/>
    </row>
    <row r="184" spans="1:20" s="198" customFormat="1" x14ac:dyDescent="0.25">
      <c r="A184" s="208">
        <v>28</v>
      </c>
      <c r="B184" s="292" t="str">
        <f t="shared" si="83"/>
        <v>Historical</v>
      </c>
      <c r="C184" s="239"/>
      <c r="D184" s="215" t="str">
        <f t="shared" ca="1" si="84"/>
        <v>Domestic Streaming Revenue, mm</v>
      </c>
      <c r="E184" s="216" t="s">
        <v>300</v>
      </c>
      <c r="F184" s="292" t="s">
        <v>319</v>
      </c>
      <c r="G184" s="239"/>
      <c r="H184" s="217">
        <v>1930</v>
      </c>
      <c r="I184" s="217">
        <v>1930</v>
      </c>
      <c r="J184" s="217">
        <f t="shared" si="85"/>
        <v>1930</v>
      </c>
      <c r="K184" s="239"/>
      <c r="L184" s="292" t="str">
        <f t="shared" si="86"/>
        <v>Actual</v>
      </c>
      <c r="M184" s="217">
        <f t="shared" ca="1" si="87"/>
        <v>1937.3140000000001</v>
      </c>
      <c r="N184" s="239"/>
      <c r="O184" s="218">
        <f t="shared" ca="1" si="88"/>
        <v>7.3140000000000782</v>
      </c>
      <c r="P184" s="219">
        <f t="shared" ca="1" si="89"/>
        <v>3.7896373056995223E-3</v>
      </c>
      <c r="Q184" s="239"/>
      <c r="R184" s="220">
        <v>43297</v>
      </c>
      <c r="S184" s="221" t="s">
        <v>295</v>
      </c>
      <c r="T184" s="239"/>
    </row>
    <row r="185" spans="1:20" s="198" customFormat="1" x14ac:dyDescent="0.25">
      <c r="A185" s="208">
        <v>27</v>
      </c>
      <c r="B185" s="292" t="str">
        <f t="shared" si="83"/>
        <v>Historical</v>
      </c>
      <c r="C185" s="239"/>
      <c r="D185" s="215" t="s">
        <v>301</v>
      </c>
      <c r="E185" s="216" t="s">
        <v>302</v>
      </c>
      <c r="F185" s="292" t="s">
        <v>319</v>
      </c>
      <c r="G185" s="239"/>
      <c r="H185" s="217">
        <v>730</v>
      </c>
      <c r="I185" s="217">
        <v>730</v>
      </c>
      <c r="J185" s="217">
        <f t="shared" si="85"/>
        <v>730</v>
      </c>
      <c r="K185" s="239"/>
      <c r="L185" s="292" t="str">
        <f t="shared" si="86"/>
        <v>Actual</v>
      </c>
      <c r="M185" s="217">
        <f t="shared" ca="1" si="87"/>
        <v>688.24600000000009</v>
      </c>
      <c r="N185" s="841"/>
      <c r="O185" s="218">
        <f t="shared" ca="1" si="88"/>
        <v>-41.753999999999905</v>
      </c>
      <c r="P185" s="219">
        <f t="shared" ca="1" si="89"/>
        <v>-5.7197260273972476E-2</v>
      </c>
      <c r="Q185" s="239"/>
      <c r="R185" s="220">
        <v>43297</v>
      </c>
      <c r="S185" s="221" t="s">
        <v>295</v>
      </c>
      <c r="T185" s="239"/>
    </row>
    <row r="186" spans="1:20" s="198" customFormat="1" x14ac:dyDescent="0.25">
      <c r="A186" s="208">
        <v>26</v>
      </c>
      <c r="B186" s="292" t="str">
        <f t="shared" si="83"/>
        <v>Historical</v>
      </c>
      <c r="C186" s="239"/>
      <c r="D186" s="215" t="s">
        <v>303</v>
      </c>
      <c r="E186" s="216"/>
      <c r="F186" s="292" t="s">
        <v>319</v>
      </c>
      <c r="G186" s="239"/>
      <c r="H186" s="222">
        <v>0.378</v>
      </c>
      <c r="I186" s="222">
        <v>0.378</v>
      </c>
      <c r="J186" s="222">
        <f t="shared" si="85"/>
        <v>0.378</v>
      </c>
      <c r="K186" s="239"/>
      <c r="L186" s="292" t="str">
        <f t="shared" si="86"/>
        <v>Actual</v>
      </c>
      <c r="M186" s="222" t="str">
        <f t="shared" ca="1" si="87"/>
        <v>N/A</v>
      </c>
      <c r="N186" s="239"/>
      <c r="O186" s="219" t="str">
        <f t="shared" ca="1" si="88"/>
        <v>N/A</v>
      </c>
      <c r="P186" s="219" t="str">
        <f t="shared" ca="1" si="89"/>
        <v>N/A</v>
      </c>
      <c r="Q186" s="239"/>
      <c r="R186" s="220">
        <v>43297</v>
      </c>
      <c r="S186" s="221" t="s">
        <v>295</v>
      </c>
      <c r="T186" s="239"/>
    </row>
    <row r="187" spans="1:20" s="198" customFormat="1" x14ac:dyDescent="0.25">
      <c r="A187" s="208">
        <v>25</v>
      </c>
      <c r="B187" s="292" t="str">
        <f t="shared" si="83"/>
        <v>Historical</v>
      </c>
      <c r="C187" s="239"/>
      <c r="D187" s="215" t="str">
        <f ca="1">INDEX(INDIRECT(E187),0,COLUMN(MO_Common_Column_A))</f>
        <v>Domestic Paid EOP Streaming Memberships, 000s</v>
      </c>
      <c r="E187" s="216" t="s">
        <v>304</v>
      </c>
      <c r="F187" s="292" t="s">
        <v>319</v>
      </c>
      <c r="G187" s="239"/>
      <c r="H187" s="217">
        <v>56660</v>
      </c>
      <c r="I187" s="217">
        <v>56660</v>
      </c>
      <c r="J187" s="217">
        <f t="shared" si="85"/>
        <v>56660</v>
      </c>
      <c r="K187" s="239"/>
      <c r="L187" s="292" t="str">
        <f t="shared" si="86"/>
        <v>Actual</v>
      </c>
      <c r="M187" s="217">
        <f t="shared" ca="1" si="87"/>
        <v>56957</v>
      </c>
      <c r="N187" s="239"/>
      <c r="O187" s="218">
        <f t="shared" ca="1" si="88"/>
        <v>297</v>
      </c>
      <c r="P187" s="219">
        <f t="shared" ca="1" si="89"/>
        <v>5.2417931521355453E-3</v>
      </c>
      <c r="Q187" s="239"/>
      <c r="R187" s="220">
        <v>43297</v>
      </c>
      <c r="S187" s="221" t="s">
        <v>295</v>
      </c>
      <c r="T187" s="239"/>
    </row>
    <row r="188" spans="1:20" s="198" customFormat="1" x14ac:dyDescent="0.25">
      <c r="A188" s="208">
        <v>24</v>
      </c>
      <c r="B188" s="292" t="str">
        <f t="shared" si="83"/>
        <v>Historical</v>
      </c>
      <c r="C188" s="239"/>
      <c r="D188" s="215" t="str">
        <f ca="1">INDEX(INDIRECT(E188),0,COLUMN(MO_Common_Column_A))</f>
        <v>Net Domestic Paid Streaming Memberships Change, 000s</v>
      </c>
      <c r="E188" s="216" t="s">
        <v>305</v>
      </c>
      <c r="F188" s="292" t="s">
        <v>319</v>
      </c>
      <c r="G188" s="239"/>
      <c r="H188" s="217">
        <v>700</v>
      </c>
      <c r="I188" s="217">
        <v>700</v>
      </c>
      <c r="J188" s="217">
        <f t="shared" si="85"/>
        <v>700</v>
      </c>
      <c r="K188" s="239"/>
      <c r="L188" s="292" t="str">
        <f t="shared" si="86"/>
        <v>Actual</v>
      </c>
      <c r="M188" s="217">
        <f t="shared" ca="1" si="87"/>
        <v>998</v>
      </c>
      <c r="N188" s="239"/>
      <c r="O188" s="218">
        <f t="shared" ca="1" si="88"/>
        <v>298</v>
      </c>
      <c r="P188" s="219">
        <f t="shared" ca="1" si="89"/>
        <v>0.42571428571428571</v>
      </c>
      <c r="Q188" s="239"/>
      <c r="R188" s="220">
        <v>43297</v>
      </c>
      <c r="S188" s="221" t="s">
        <v>295</v>
      </c>
      <c r="T188" s="239"/>
    </row>
    <row r="189" spans="1:20" s="198" customFormat="1" x14ac:dyDescent="0.25">
      <c r="A189" s="208">
        <v>23</v>
      </c>
      <c r="B189" s="292" t="str">
        <f t="shared" si="83"/>
        <v>Historical</v>
      </c>
      <c r="C189" s="239"/>
      <c r="D189" s="215" t="s">
        <v>317</v>
      </c>
      <c r="E189" s="216"/>
      <c r="F189" s="292" t="s">
        <v>319</v>
      </c>
      <c r="G189" s="239"/>
      <c r="H189" s="217">
        <v>58.03</v>
      </c>
      <c r="I189" s="217">
        <v>58.03</v>
      </c>
      <c r="J189" s="217">
        <f t="shared" si="85"/>
        <v>58.03</v>
      </c>
      <c r="K189" s="239"/>
      <c r="L189" s="292" t="str">
        <f t="shared" si="86"/>
        <v>Actual</v>
      </c>
      <c r="M189" s="217" t="str">
        <f t="shared" ca="1" si="87"/>
        <v>N/A</v>
      </c>
      <c r="N189" s="239"/>
      <c r="O189" s="218" t="str">
        <f t="shared" ca="1" si="88"/>
        <v>N/A</v>
      </c>
      <c r="P189" s="219" t="str">
        <f t="shared" ca="1" si="89"/>
        <v>N/A</v>
      </c>
      <c r="Q189" s="239"/>
      <c r="R189" s="220">
        <v>43297</v>
      </c>
      <c r="S189" s="221" t="s">
        <v>295</v>
      </c>
      <c r="T189" s="239"/>
    </row>
    <row r="190" spans="1:20" s="198" customFormat="1" x14ac:dyDescent="0.25">
      <c r="A190" s="208">
        <v>22</v>
      </c>
      <c r="B190" s="292" t="str">
        <f t="shared" si="83"/>
        <v>Historical</v>
      </c>
      <c r="C190" s="239"/>
      <c r="D190" s="215" t="s">
        <v>307</v>
      </c>
      <c r="E190" s="216"/>
      <c r="F190" s="292" t="s">
        <v>319</v>
      </c>
      <c r="G190" s="239"/>
      <c r="H190" s="217">
        <v>0.65</v>
      </c>
      <c r="I190" s="217">
        <v>0.65</v>
      </c>
      <c r="J190" s="217">
        <f t="shared" si="85"/>
        <v>0.65</v>
      </c>
      <c r="K190" s="239"/>
      <c r="L190" s="292" t="str">
        <f t="shared" si="86"/>
        <v>Actual</v>
      </c>
      <c r="M190" s="217" t="str">
        <f t="shared" ca="1" si="87"/>
        <v>N/A</v>
      </c>
      <c r="N190" s="239"/>
      <c r="O190" s="218" t="str">
        <f t="shared" ca="1" si="88"/>
        <v>N/A</v>
      </c>
      <c r="P190" s="219" t="str">
        <f t="shared" ca="1" si="89"/>
        <v>N/A</v>
      </c>
      <c r="Q190" s="239"/>
      <c r="R190" s="220">
        <v>43297</v>
      </c>
      <c r="S190" s="221" t="s">
        <v>295</v>
      </c>
      <c r="T190" s="239"/>
    </row>
    <row r="191" spans="1:20" s="198" customFormat="1" x14ac:dyDescent="0.25">
      <c r="A191" s="208">
        <v>21</v>
      </c>
      <c r="B191" s="292" t="str">
        <f t="shared" si="83"/>
        <v>Historical</v>
      </c>
      <c r="C191" s="239"/>
      <c r="D191" s="215" t="str">
        <f ca="1">INDEX(INDIRECT(E191),0,COLUMN(MO_Common_Column_A))</f>
        <v>International Streaming Revenue, mm</v>
      </c>
      <c r="E191" s="216" t="s">
        <v>308</v>
      </c>
      <c r="F191" s="292" t="s">
        <v>319</v>
      </c>
      <c r="G191" s="239"/>
      <c r="H191" s="217">
        <v>1970</v>
      </c>
      <c r="I191" s="217">
        <v>1970</v>
      </c>
      <c r="J191" s="217">
        <f t="shared" si="85"/>
        <v>1970</v>
      </c>
      <c r="K191" s="239"/>
      <c r="L191" s="292" t="str">
        <f t="shared" si="86"/>
        <v>Actual</v>
      </c>
      <c r="M191" s="217">
        <f t="shared" ca="1" si="87"/>
        <v>1973.2829999999999</v>
      </c>
      <c r="N191" s="239"/>
      <c r="O191" s="218">
        <f t="shared" ca="1" si="88"/>
        <v>3.2829999999999018</v>
      </c>
      <c r="P191" s="219">
        <f t="shared" ca="1" si="89"/>
        <v>1.6664974619288841E-3</v>
      </c>
      <c r="Q191" s="239"/>
      <c r="R191" s="220">
        <v>43297</v>
      </c>
      <c r="S191" s="221" t="s">
        <v>295</v>
      </c>
      <c r="T191" s="239"/>
    </row>
    <row r="192" spans="1:20" s="198" customFormat="1" x14ac:dyDescent="0.25">
      <c r="A192" s="208">
        <v>20</v>
      </c>
      <c r="B192" s="292" t="str">
        <f t="shared" si="83"/>
        <v>Historical</v>
      </c>
      <c r="C192" s="239"/>
      <c r="D192" s="215" t="s">
        <v>309</v>
      </c>
      <c r="E192" s="216" t="s">
        <v>310</v>
      </c>
      <c r="F192" s="292" t="s">
        <v>319</v>
      </c>
      <c r="G192" s="239"/>
      <c r="H192" s="217">
        <v>290</v>
      </c>
      <c r="I192" s="217">
        <v>290</v>
      </c>
      <c r="J192" s="217">
        <f t="shared" si="85"/>
        <v>290</v>
      </c>
      <c r="K192" s="239"/>
      <c r="L192" s="292" t="str">
        <f t="shared" si="86"/>
        <v>Actual</v>
      </c>
      <c r="M192" s="217">
        <f t="shared" ca="1" si="87"/>
        <v>217.9939999999998</v>
      </c>
      <c r="N192" s="239"/>
      <c r="O192" s="218">
        <f t="shared" ca="1" si="88"/>
        <v>-72.006000000000199</v>
      </c>
      <c r="P192" s="219">
        <f t="shared" ca="1" si="89"/>
        <v>-0.24829655172413861</v>
      </c>
      <c r="Q192" s="239"/>
      <c r="R192" s="220">
        <v>43297</v>
      </c>
      <c r="S192" s="221" t="s">
        <v>295</v>
      </c>
      <c r="T192" s="239"/>
    </row>
    <row r="193" spans="1:20" s="198" customFormat="1" x14ac:dyDescent="0.25">
      <c r="A193" s="208">
        <v>19</v>
      </c>
      <c r="B193" s="292" t="str">
        <f t="shared" si="83"/>
        <v>Historical</v>
      </c>
      <c r="C193" s="239"/>
      <c r="D193" s="215" t="s">
        <v>311</v>
      </c>
      <c r="E193" s="216"/>
      <c r="F193" s="292" t="s">
        <v>319</v>
      </c>
      <c r="G193" s="239"/>
      <c r="H193" s="222">
        <v>0.14699999999999999</v>
      </c>
      <c r="I193" s="222">
        <v>0.14699999999999999</v>
      </c>
      <c r="J193" s="222">
        <f t="shared" si="85"/>
        <v>0.14699999999999999</v>
      </c>
      <c r="K193" s="239"/>
      <c r="L193" s="292" t="str">
        <f t="shared" si="86"/>
        <v>Actual</v>
      </c>
      <c r="M193" s="222" t="str">
        <f t="shared" ca="1" si="87"/>
        <v>N/A</v>
      </c>
      <c r="N193" s="225"/>
      <c r="O193" s="219" t="str">
        <f t="shared" ca="1" si="88"/>
        <v>N/A</v>
      </c>
      <c r="P193" s="219" t="str">
        <f t="shared" ca="1" si="89"/>
        <v>N/A</v>
      </c>
      <c r="Q193" s="239"/>
      <c r="R193" s="220">
        <v>43297</v>
      </c>
      <c r="S193" s="221" t="s">
        <v>295</v>
      </c>
      <c r="T193" s="239"/>
    </row>
    <row r="194" spans="1:20" s="198" customFormat="1" x14ac:dyDescent="0.25">
      <c r="A194" s="208">
        <v>18</v>
      </c>
      <c r="B194" s="292" t="str">
        <f t="shared" si="83"/>
        <v>Historical</v>
      </c>
      <c r="C194" s="239"/>
      <c r="D194" s="215" t="str">
        <f ca="1">INDEX(INDIRECT(E194),0,COLUMN(MO_Common_Column_A))</f>
        <v>International Paid EOP Streaming Memberships, 000s</v>
      </c>
      <c r="E194" s="216" t="s">
        <v>312</v>
      </c>
      <c r="F194" s="292" t="s">
        <v>319</v>
      </c>
      <c r="G194" s="239"/>
      <c r="H194" s="217">
        <v>72850</v>
      </c>
      <c r="I194" s="217">
        <v>72850</v>
      </c>
      <c r="J194" s="217">
        <f t="shared" si="85"/>
        <v>72850</v>
      </c>
      <c r="K194" s="239"/>
      <c r="L194" s="292" t="str">
        <f t="shared" si="86"/>
        <v>Actual</v>
      </c>
      <c r="M194" s="217">
        <f t="shared" ca="1" si="87"/>
        <v>73465</v>
      </c>
      <c r="N194" s="239"/>
      <c r="O194" s="218">
        <f t="shared" ca="1" si="88"/>
        <v>615</v>
      </c>
      <c r="P194" s="219">
        <f t="shared" ca="1" si="89"/>
        <v>8.4420041180507891E-3</v>
      </c>
      <c r="Q194" s="239"/>
      <c r="R194" s="220">
        <v>43297</v>
      </c>
      <c r="S194" s="221" t="s">
        <v>295</v>
      </c>
      <c r="T194" s="239"/>
    </row>
    <row r="195" spans="1:20" s="198" customFormat="1" x14ac:dyDescent="0.25">
      <c r="A195" s="208">
        <v>17</v>
      </c>
      <c r="B195" s="292" t="str">
        <f t="shared" si="83"/>
        <v>Historical</v>
      </c>
      <c r="C195" s="239"/>
      <c r="D195" s="215" t="str">
        <f ca="1">INDEX(INDIRECT(E195),0,COLUMN(MO_Common_Column_A))</f>
        <v>Net International Paid Streaming Memberships Change, 000s</v>
      </c>
      <c r="E195" s="216" t="s">
        <v>313</v>
      </c>
      <c r="F195" s="292" t="s">
        <v>319</v>
      </c>
      <c r="G195" s="239"/>
      <c r="H195" s="217">
        <v>4450</v>
      </c>
      <c r="I195" s="217">
        <v>4450</v>
      </c>
      <c r="J195" s="217">
        <f t="shared" si="85"/>
        <v>4450</v>
      </c>
      <c r="K195" s="239"/>
      <c r="L195" s="292" t="str">
        <f t="shared" si="86"/>
        <v>Actual</v>
      </c>
      <c r="M195" s="217">
        <f t="shared" ca="1" si="87"/>
        <v>5070</v>
      </c>
      <c r="N195" s="239"/>
      <c r="O195" s="218">
        <f t="shared" ca="1" si="88"/>
        <v>620</v>
      </c>
      <c r="P195" s="219">
        <f t="shared" ca="1" si="89"/>
        <v>0.1393258426966292</v>
      </c>
      <c r="Q195" s="239"/>
      <c r="R195" s="220">
        <v>43297</v>
      </c>
      <c r="S195" s="221" t="s">
        <v>295</v>
      </c>
      <c r="T195" s="239"/>
    </row>
    <row r="196" spans="1:20" s="198" customFormat="1" x14ac:dyDescent="0.25">
      <c r="A196" s="208">
        <v>16</v>
      </c>
      <c r="B196" s="292" t="str">
        <f t="shared" si="83"/>
        <v>Historical</v>
      </c>
      <c r="C196" s="239"/>
      <c r="D196" s="215" t="s">
        <v>318</v>
      </c>
      <c r="E196" s="216"/>
      <c r="F196" s="292" t="s">
        <v>319</v>
      </c>
      <c r="G196" s="239"/>
      <c r="H196" s="217">
        <v>77.11</v>
      </c>
      <c r="I196" s="217">
        <v>77.11</v>
      </c>
      <c r="J196" s="217">
        <f t="shared" si="85"/>
        <v>77.11</v>
      </c>
      <c r="K196" s="239"/>
      <c r="L196" s="292" t="str">
        <f t="shared" si="86"/>
        <v>Actual</v>
      </c>
      <c r="M196" s="217" t="str">
        <f t="shared" ca="1" si="87"/>
        <v>N/A</v>
      </c>
      <c r="N196" s="239"/>
      <c r="O196" s="218" t="str">
        <f t="shared" ca="1" si="88"/>
        <v>N/A</v>
      </c>
      <c r="P196" s="219" t="str">
        <f t="shared" ca="1" si="89"/>
        <v>N/A</v>
      </c>
      <c r="Q196" s="239"/>
      <c r="R196" s="220">
        <v>43297</v>
      </c>
      <c r="S196" s="221" t="s">
        <v>295</v>
      </c>
      <c r="T196" s="239"/>
    </row>
    <row r="197" spans="1:20" s="198" customFormat="1" x14ac:dyDescent="0.25">
      <c r="A197" s="208">
        <v>15</v>
      </c>
      <c r="B197" s="292" t="str">
        <f t="shared" si="83"/>
        <v>Historical</v>
      </c>
      <c r="C197" s="239"/>
      <c r="D197" s="215" t="s">
        <v>314</v>
      </c>
      <c r="E197" s="216"/>
      <c r="F197" s="292" t="s">
        <v>319</v>
      </c>
      <c r="G197" s="239"/>
      <c r="H197" s="217">
        <v>4.3499999999999996</v>
      </c>
      <c r="I197" s="217">
        <v>4.3499999999999996</v>
      </c>
      <c r="J197" s="217">
        <f t="shared" si="85"/>
        <v>4.3499999999999996</v>
      </c>
      <c r="K197" s="239"/>
      <c r="L197" s="292" t="str">
        <f t="shared" si="86"/>
        <v>Actual</v>
      </c>
      <c r="M197" s="217" t="str">
        <f t="shared" ca="1" si="87"/>
        <v>N/A</v>
      </c>
      <c r="N197" s="239"/>
      <c r="O197" s="218" t="str">
        <f t="shared" ca="1" si="88"/>
        <v>N/A</v>
      </c>
      <c r="P197" s="219" t="str">
        <f t="shared" ca="1" si="89"/>
        <v>N/A</v>
      </c>
      <c r="Q197" s="239"/>
      <c r="R197" s="220">
        <v>43297</v>
      </c>
      <c r="S197" s="221" t="s">
        <v>295</v>
      </c>
      <c r="T197" s="239"/>
    </row>
    <row r="198" spans="1:20" s="198" customFormat="1" x14ac:dyDescent="0.25">
      <c r="A198" s="208">
        <v>14</v>
      </c>
      <c r="B198" s="239"/>
      <c r="C198" s="239"/>
      <c r="D198" s="226"/>
      <c r="E198" s="227"/>
      <c r="F198" s="239"/>
      <c r="G198" s="239"/>
      <c r="H198" s="841"/>
      <c r="I198" s="841"/>
      <c r="J198" s="841"/>
      <c r="K198" s="239"/>
      <c r="L198" s="239"/>
      <c r="M198" s="841"/>
      <c r="N198" s="239"/>
      <c r="O198" s="228"/>
      <c r="P198" s="122"/>
      <c r="Q198" s="239"/>
      <c r="R198" s="229"/>
      <c r="S198" s="230"/>
      <c r="T198" s="239"/>
    </row>
    <row r="199" spans="1:20" s="198" customFormat="1" x14ac:dyDescent="0.25">
      <c r="A199" s="208">
        <v>13</v>
      </c>
      <c r="B199" s="292" t="str">
        <f>IF(INDEX(MO_SNA_IsHistoricalPeriod,,MATCH(F199,MO_Common_ColumnHeader,0)),"Historical","Forward")</f>
        <v>Historical</v>
      </c>
      <c r="C199" s="239"/>
      <c r="D199" s="215" t="s">
        <v>322</v>
      </c>
      <c r="E199" s="216"/>
      <c r="F199" s="292" t="s">
        <v>323</v>
      </c>
      <c r="G199" s="239"/>
      <c r="H199" s="217">
        <v>7500</v>
      </c>
      <c r="I199" s="217">
        <v>8000</v>
      </c>
      <c r="J199" s="217">
        <f>AVERAGE(H199:I199)</f>
        <v>7750</v>
      </c>
      <c r="K199" s="239"/>
      <c r="L199" s="292" t="str">
        <f>IF(INDEX(MO_SNA_IsHistoricalPeriod,,MATCH(F199,MO_Common_ColumnHeader,0)),"Actual","Estimate")</f>
        <v>Actual</v>
      </c>
      <c r="M199" s="217" t="str">
        <f ca="1">IFERROR(INDEX(INDIRECT(E199),0,MATCH(F199,MO_Common_ColumnHeader,0)),"N/A")</f>
        <v>N/A</v>
      </c>
      <c r="N199" s="239"/>
      <c r="O199" s="218" t="str">
        <f ca="1">IF(ISNUMBER(M199),M199-J199,"N/A")</f>
        <v>N/A</v>
      </c>
      <c r="P199" s="219" t="str">
        <f ca="1">IFERROR(IF(ISNUMBER(M199),(M199-J199)/ABS(J199),"N/A"),"N/A")</f>
        <v>N/A</v>
      </c>
      <c r="Q199" s="239"/>
      <c r="R199" s="220">
        <v>43206</v>
      </c>
      <c r="S199" s="221" t="s">
        <v>295</v>
      </c>
      <c r="T199" s="239"/>
    </row>
    <row r="200" spans="1:20" s="198" customFormat="1" x14ac:dyDescent="0.25">
      <c r="A200" s="208">
        <v>12</v>
      </c>
      <c r="B200" s="292" t="str">
        <f>IF(INDEX(MO_SNA_IsHistoricalPeriod,,MATCH(F200,MO_Common_ColumnHeader,0)),"Historical","Forward")</f>
        <v>Historical</v>
      </c>
      <c r="C200" s="239"/>
      <c r="D200" s="215" t="s">
        <v>324</v>
      </c>
      <c r="E200" s="216" t="s">
        <v>725</v>
      </c>
      <c r="F200" s="292" t="s">
        <v>323</v>
      </c>
      <c r="G200" s="239"/>
      <c r="H200" s="222">
        <v>0.1</v>
      </c>
      <c r="I200" s="222">
        <v>0.1</v>
      </c>
      <c r="J200" s="222">
        <f>AVERAGE(H200:I200)</f>
        <v>0.1</v>
      </c>
      <c r="K200" s="239"/>
      <c r="L200" s="292" t="str">
        <f>IF(INDEX(MO_SNA_IsHistoricalPeriod,,MATCH(F200,MO_Common_ColumnHeader,0)),"Actual","Estimate")</f>
        <v>Actual</v>
      </c>
      <c r="M200" s="222">
        <f t="shared" ref="M200" ca="1" si="90">IFERROR(INDEX(INDIRECT(E200),0,MATCH(F200,MO_Common_ColumnHeader,0)),"N/A")</f>
        <v>0.10163298361102877</v>
      </c>
      <c r="N200" s="239"/>
      <c r="O200" s="219">
        <f ca="1">IF(ISNUMBER(M200),M200-J200,"N/A")</f>
        <v>1.6329836110287599E-3</v>
      </c>
      <c r="P200" s="219">
        <f ca="1">IFERROR(IF(ISNUMBER(M200),(M200-J200)/ABS(J200),"N/A"),"N/A")</f>
        <v>1.6329836110287599E-2</v>
      </c>
      <c r="Q200" s="239"/>
      <c r="R200" s="220">
        <v>43206</v>
      </c>
      <c r="S200" s="221" t="s">
        <v>295</v>
      </c>
      <c r="T200" s="239"/>
    </row>
    <row r="201" spans="1:20" s="198" customFormat="1" x14ac:dyDescent="0.25">
      <c r="A201" s="208">
        <v>11</v>
      </c>
      <c r="B201" s="239"/>
      <c r="C201" s="239"/>
      <c r="D201" s="226"/>
      <c r="E201" s="227"/>
      <c r="F201" s="239"/>
      <c r="G201" s="239"/>
      <c r="H201" s="841"/>
      <c r="I201" s="841"/>
      <c r="J201" s="841"/>
      <c r="K201" s="239"/>
      <c r="L201" s="239"/>
      <c r="M201" s="841"/>
      <c r="N201" s="239"/>
      <c r="O201" s="228"/>
      <c r="P201" s="122"/>
      <c r="Q201" s="239"/>
      <c r="R201" s="229"/>
      <c r="S201" s="230"/>
      <c r="T201" s="239"/>
    </row>
    <row r="202" spans="1:20" s="198" customFormat="1" x14ac:dyDescent="0.25">
      <c r="A202" s="208">
        <v>10</v>
      </c>
      <c r="B202" s="292" t="str">
        <f>IF(INDEX(MO_SNA_IsHistoricalPeriod,,MATCH(F202,MO_Common_ColumnHeader,0)),"Historical","Forward")</f>
        <v>Historical</v>
      </c>
      <c r="C202" s="239"/>
      <c r="D202" s="215" t="str">
        <f ca="1">INDEX(INDIRECT(E202),0,COLUMN(MO_Common_Column_A))</f>
        <v>Net Domestic Paid Streaming Memberships Change, 000s</v>
      </c>
      <c r="E202" s="216" t="s">
        <v>305</v>
      </c>
      <c r="F202" s="292" t="s">
        <v>325</v>
      </c>
      <c r="G202" s="239"/>
      <c r="H202" s="217">
        <v>1200</v>
      </c>
      <c r="I202" s="217">
        <v>1200</v>
      </c>
      <c r="J202" s="217">
        <f>AVERAGE(H202:I202)</f>
        <v>1200</v>
      </c>
      <c r="K202" s="239"/>
      <c r="L202" s="292" t="str">
        <f>IF(INDEX(MO_SNA_IsHistoricalPeriod,,MATCH(F202,MO_Common_ColumnHeader,0)),"Actual","Estimate")</f>
        <v>Actual</v>
      </c>
      <c r="M202" s="217">
        <f ca="1">IFERROR(INDEX(INDIRECT(E202),0,MATCH(F202,MO_Common_ColumnHeader,0)),"N/A")</f>
        <v>872</v>
      </c>
      <c r="N202" s="239"/>
      <c r="O202" s="218">
        <f ca="1">IF(ISNUMBER(M202),M202-J202,"N/A")</f>
        <v>-328</v>
      </c>
      <c r="P202" s="219">
        <f ca="1">IFERROR(IF(ISNUMBER(M202),(M202-J202)/ABS(J202),"N/A"),"N/A")</f>
        <v>-0.27333333333333332</v>
      </c>
      <c r="Q202" s="239"/>
      <c r="R202" s="220">
        <v>43206</v>
      </c>
      <c r="S202" s="221" t="s">
        <v>295</v>
      </c>
      <c r="T202" s="239"/>
    </row>
    <row r="203" spans="1:20" x14ac:dyDescent="0.25">
      <c r="A203" s="208">
        <v>9</v>
      </c>
      <c r="B203" s="292" t="str">
        <f>IF(INDEX(MO_SNA_IsHistoricalPeriod,,MATCH(F203,MO_Common_ColumnHeader,0)),"Historical","Forward")</f>
        <v>Historical</v>
      </c>
      <c r="C203" s="239"/>
      <c r="D203" s="215" t="str">
        <f ca="1">INDEX(INDIRECT(E203),0,COLUMN(MO_Common_Column_A))</f>
        <v>Net International Paid Streaming Memberships Change, 000s</v>
      </c>
      <c r="E203" s="216" t="s">
        <v>313</v>
      </c>
      <c r="F203" s="292" t="s">
        <v>325</v>
      </c>
      <c r="G203" s="239"/>
      <c r="H203" s="217">
        <v>5000</v>
      </c>
      <c r="I203" s="217">
        <v>5000</v>
      </c>
      <c r="J203" s="217">
        <f>AVERAGE(H203:I203)</f>
        <v>5000</v>
      </c>
      <c r="K203" s="239"/>
      <c r="L203" s="292" t="str">
        <f>IF(INDEX(MO_SNA_IsHistoricalPeriod,,MATCH(F203,MO_Common_ColumnHeader,0)),"Actual","Estimate")</f>
        <v>Actual</v>
      </c>
      <c r="M203" s="217">
        <f ca="1">IFERROR(INDEX(INDIRECT(E203),0,MATCH(F203,MO_Common_ColumnHeader,0)),"N/A")</f>
        <v>4580</v>
      </c>
      <c r="N203" s="239"/>
      <c r="O203" s="218">
        <f ca="1">IF(ISNUMBER(M203),M203-J203,"N/A")</f>
        <v>-420</v>
      </c>
      <c r="P203" s="219">
        <f ca="1">IFERROR(IF(ISNUMBER(M203),(M203-J203)/ABS(J203),"N/A"),"N/A")</f>
        <v>-8.4000000000000005E-2</v>
      </c>
      <c r="Q203" s="239"/>
      <c r="R203" s="220">
        <v>43206</v>
      </c>
      <c r="S203" s="221" t="s">
        <v>295</v>
      </c>
      <c r="T203" s="239"/>
    </row>
    <row r="204" spans="1:20" x14ac:dyDescent="0.25">
      <c r="A204" s="208">
        <v>8</v>
      </c>
      <c r="B204" s="292" t="str">
        <f>IF(INDEX(MO_SNA_IsHistoricalPeriod,,MATCH(F204,MO_Common_ColumnHeader,0)),"Historical","Forward")</f>
        <v>Historical</v>
      </c>
      <c r="C204" s="239"/>
      <c r="D204" s="215" t="s">
        <v>324</v>
      </c>
      <c r="E204" s="216" t="s">
        <v>725</v>
      </c>
      <c r="F204" s="292" t="s">
        <v>325</v>
      </c>
      <c r="G204" s="239"/>
      <c r="H204" s="222">
        <v>0.12</v>
      </c>
      <c r="I204" s="222">
        <v>0.12</v>
      </c>
      <c r="J204" s="222">
        <f>AVERAGE(H204:I204)</f>
        <v>0.12</v>
      </c>
      <c r="K204" s="239"/>
      <c r="L204" s="292" t="str">
        <f>IF(INDEX(MO_SNA_IsHistoricalPeriod,,MATCH(F204,MO_Common_ColumnHeader,0)),"Actual","Estimate")</f>
        <v>Actual</v>
      </c>
      <c r="M204" s="222">
        <f t="shared" ref="M204" ca="1" si="91">IFERROR(INDEX(INDIRECT(E204),0,MATCH(F204,MO_Common_ColumnHeader,0)),"N/A")</f>
        <v>0.11829563864283757</v>
      </c>
      <c r="N204" s="239"/>
      <c r="O204" s="219">
        <f ca="1">IF(ISNUMBER(M204),M204-J204,"N/A")</f>
        <v>-1.7043613571624261E-3</v>
      </c>
      <c r="P204" s="219">
        <f ca="1">IFERROR(IF(ISNUMBER(M204),(M204-J204)/ABS(J204),"N/A"),"N/A")</f>
        <v>-1.4203011309686885E-2</v>
      </c>
      <c r="Q204" s="239"/>
      <c r="R204" s="220">
        <v>43206</v>
      </c>
      <c r="S204" s="221" t="s">
        <v>295</v>
      </c>
      <c r="T204" s="239"/>
    </row>
    <row r="205" spans="1:20" x14ac:dyDescent="0.25">
      <c r="A205" s="208">
        <v>7</v>
      </c>
      <c r="B205" s="239"/>
      <c r="C205" s="239"/>
      <c r="D205" s="226"/>
      <c r="E205" s="227"/>
      <c r="F205" s="239"/>
      <c r="G205" s="239"/>
      <c r="H205" s="841"/>
      <c r="I205" s="841"/>
      <c r="J205" s="841"/>
      <c r="K205" s="239"/>
      <c r="L205" s="239"/>
      <c r="M205" s="841"/>
      <c r="N205" s="239"/>
      <c r="O205" s="228"/>
      <c r="P205" s="122"/>
      <c r="Q205" s="239"/>
      <c r="R205" s="229"/>
      <c r="S205" s="230"/>
      <c r="T205" s="239"/>
    </row>
    <row r="206" spans="1:20" x14ac:dyDescent="0.25">
      <c r="A206" s="208">
        <v>6</v>
      </c>
      <c r="B206" s="292" t="str">
        <f>IF(INDEX(MO_SNA_IsHistoricalPeriod,,MATCH(F206,MO_Common_ColumnHeader,0)),"Historical","Forward")</f>
        <v>Historical</v>
      </c>
      <c r="C206" s="239"/>
      <c r="D206" s="215" t="s">
        <v>322</v>
      </c>
      <c r="E206" s="216"/>
      <c r="F206" s="292" t="s">
        <v>323</v>
      </c>
      <c r="G206" s="239"/>
      <c r="H206" s="217">
        <v>7500</v>
      </c>
      <c r="I206" s="217">
        <v>8000</v>
      </c>
      <c r="J206" s="217">
        <f>AVERAGE(H206:I206)</f>
        <v>7750</v>
      </c>
      <c r="K206" s="239"/>
      <c r="L206" s="292" t="str">
        <f>IF(INDEX(MO_SNA_IsHistoricalPeriod,,MATCH(F206,MO_Common_ColumnHeader,0)),"Actual","Estimate")</f>
        <v>Actual</v>
      </c>
      <c r="M206" s="217" t="str">
        <f ca="1">IFERROR(INDEX(INDIRECT(E206),0,MATCH(F206,MO_Common_ColumnHeader,0)),"N/A")</f>
        <v>N/A</v>
      </c>
      <c r="N206" s="239"/>
      <c r="O206" s="218" t="str">
        <f ca="1">IF(ISNUMBER(M206),M206-J206,"N/A")</f>
        <v>N/A</v>
      </c>
      <c r="P206" s="219" t="str">
        <f ca="1">IFERROR(IF(ISNUMBER(M206),(M206-J206)/ABS(J206),"N/A"),"N/A")</f>
        <v>N/A</v>
      </c>
      <c r="Q206" s="239"/>
      <c r="R206" s="220">
        <v>43122</v>
      </c>
      <c r="S206" s="221" t="s">
        <v>295</v>
      </c>
      <c r="T206" s="239"/>
    </row>
    <row r="207" spans="1:20" x14ac:dyDescent="0.25">
      <c r="A207" s="208">
        <v>5</v>
      </c>
      <c r="B207" s="292" t="str">
        <f>IF(INDEX(MO_SNA_IsHistoricalPeriod,,MATCH(F207,MO_Common_ColumnHeader,0)),"Historical","Forward")</f>
        <v>Historical</v>
      </c>
      <c r="C207" s="239"/>
      <c r="D207" s="215" t="s">
        <v>324</v>
      </c>
      <c r="E207" s="216" t="s">
        <v>725</v>
      </c>
      <c r="F207" s="292" t="s">
        <v>323</v>
      </c>
      <c r="G207" s="239"/>
      <c r="H207" s="222">
        <v>0.1</v>
      </c>
      <c r="I207" s="222">
        <v>0.1</v>
      </c>
      <c r="J207" s="222">
        <f>AVERAGE(H207:I207)</f>
        <v>0.1</v>
      </c>
      <c r="K207" s="239"/>
      <c r="L207" s="292" t="str">
        <f>IF(INDEX(MO_SNA_IsHistoricalPeriod,,MATCH(F207,MO_Common_ColumnHeader,0)),"Actual","Estimate")</f>
        <v>Actual</v>
      </c>
      <c r="M207" s="222">
        <f t="shared" ref="M207" ca="1" si="92">IFERROR(INDEX(INDIRECT(E207),0,MATCH(F207,MO_Common_ColumnHeader,0)),"N/A")</f>
        <v>0.10163298361102877</v>
      </c>
      <c r="N207" s="239"/>
      <c r="O207" s="219">
        <f ca="1">IF(ISNUMBER(M207),M207-J207,"N/A")</f>
        <v>1.6329836110287599E-3</v>
      </c>
      <c r="P207" s="219">
        <f ca="1">IFERROR(IF(ISNUMBER(M207),(M207-J207)/ABS(J207),"N/A"),"N/A")</f>
        <v>1.6329836110287599E-2</v>
      </c>
      <c r="Q207" s="239"/>
      <c r="R207" s="220">
        <v>43122</v>
      </c>
      <c r="S207" s="221" t="s">
        <v>295</v>
      </c>
      <c r="T207" s="239"/>
    </row>
    <row r="208" spans="1:20" x14ac:dyDescent="0.25">
      <c r="A208" s="208">
        <v>4</v>
      </c>
      <c r="B208" s="292" t="str">
        <f>IF(INDEX(MO_SNA_IsHistoricalPeriod,,MATCH(F208,MO_Common_ColumnHeader,0)),"Historical","Forward")</f>
        <v>Historical</v>
      </c>
      <c r="C208" s="239"/>
      <c r="D208" s="215" t="str">
        <f ca="1">INDEX(INDIRECT(E208),0,COLUMN(MO_Common_Column_A))</f>
        <v>S&amp;M</v>
      </c>
      <c r="E208" s="216" t="s">
        <v>326</v>
      </c>
      <c r="F208" s="292" t="s">
        <v>323</v>
      </c>
      <c r="G208" s="239"/>
      <c r="H208" s="217">
        <v>2000</v>
      </c>
      <c r="I208" s="217">
        <v>2000</v>
      </c>
      <c r="J208" s="217">
        <f>AVERAGE(H208:I208)</f>
        <v>2000</v>
      </c>
      <c r="K208" s="239"/>
      <c r="L208" s="292" t="str">
        <f>IF(INDEX(MO_SNA_IsHistoricalPeriod,,MATCH(F208,MO_Common_ColumnHeader,0)),"Actual","Estimate")</f>
        <v>Actual</v>
      </c>
      <c r="M208" s="217">
        <f ca="1">IFERROR(INDEX(INDIRECT(E208),0,MATCH(F208,MO_Common_ColumnHeader,0)),"N/A")</f>
        <v>2369.4690000000001</v>
      </c>
      <c r="N208" s="239"/>
      <c r="O208" s="218">
        <f ca="1">IF(ISNUMBER(M208),M208-J208,"N/A")</f>
        <v>369.46900000000005</v>
      </c>
      <c r="P208" s="219">
        <f ca="1">IFERROR(IF(ISNUMBER(M208),(M208-J208)/ABS(J208),"N/A"),"N/A")</f>
        <v>0.18473450000000002</v>
      </c>
      <c r="Q208" s="239"/>
      <c r="R208" s="220">
        <v>43122</v>
      </c>
      <c r="S208" s="221" t="s">
        <v>295</v>
      </c>
      <c r="T208" s="239"/>
    </row>
    <row r="209" spans="1:20" x14ac:dyDescent="0.25">
      <c r="A209" s="208">
        <v>3</v>
      </c>
      <c r="B209" s="292" t="str">
        <f>IF(INDEX(MO_SNA_IsHistoricalPeriod,,MATCH(F209,MO_Common_ColumnHeader,0)),"Historical","Forward")</f>
        <v>Historical</v>
      </c>
      <c r="C209" s="239"/>
      <c r="D209" s="215" t="str">
        <f ca="1">INDEX(INDIRECT(E209),0,COLUMN(MO_Common_Column_A))</f>
        <v>R&amp;D</v>
      </c>
      <c r="E209" s="216" t="s">
        <v>327</v>
      </c>
      <c r="F209" s="292" t="s">
        <v>323</v>
      </c>
      <c r="G209" s="239"/>
      <c r="H209" s="217">
        <v>1300</v>
      </c>
      <c r="I209" s="217">
        <v>1300</v>
      </c>
      <c r="J209" s="217">
        <f>AVERAGE(H209:I209)</f>
        <v>1300</v>
      </c>
      <c r="K209" s="239"/>
      <c r="L209" s="292" t="str">
        <f>IF(INDEX(MO_SNA_IsHistoricalPeriod,,MATCH(F209,MO_Common_ColumnHeader,0)),"Actual","Estimate")</f>
        <v>Actual</v>
      </c>
      <c r="M209" s="217">
        <f ca="1">IFERROR(INDEX(INDIRECT(E209),0,MATCH(F209,MO_Common_ColumnHeader,0)),"N/A")</f>
        <v>1221.8140000000001</v>
      </c>
      <c r="N209" s="239"/>
      <c r="O209" s="218">
        <f ca="1">IF(ISNUMBER(M209),M209-J209,"N/A")</f>
        <v>-78.185999999999922</v>
      </c>
      <c r="P209" s="219">
        <f ca="1">IFERROR(IF(ISNUMBER(M209),(M209-J209)/ABS(J209),"N/A"),"N/A")</f>
        <v>-6.0143076923076862E-2</v>
      </c>
      <c r="Q209" s="239"/>
      <c r="R209" s="220">
        <v>43122</v>
      </c>
      <c r="S209" s="221" t="s">
        <v>295</v>
      </c>
      <c r="T209" s="239"/>
    </row>
    <row r="210" spans="1:20" x14ac:dyDescent="0.25">
      <c r="A210" s="208">
        <v>2</v>
      </c>
      <c r="B210" s="239"/>
      <c r="C210" s="239"/>
      <c r="D210" s="226"/>
      <c r="E210" s="227"/>
      <c r="F210" s="239"/>
      <c r="G210" s="239"/>
      <c r="H210" s="841"/>
      <c r="I210" s="841"/>
      <c r="J210" s="841"/>
      <c r="K210" s="239"/>
      <c r="L210" s="239"/>
      <c r="M210" s="841"/>
      <c r="N210" s="239"/>
      <c r="O210" s="228"/>
      <c r="P210" s="122"/>
      <c r="Q210" s="239"/>
      <c r="R210" s="229"/>
      <c r="S210" s="230"/>
      <c r="T210" s="239"/>
    </row>
    <row r="211" spans="1:20" x14ac:dyDescent="0.25">
      <c r="A211" s="208">
        <v>1</v>
      </c>
      <c r="B211" s="292" t="str">
        <f>IF(INDEX(MO_SNA_IsHistoricalPeriod,,MATCH(F211,MO_Common_ColumnHeader,0)),"Historical","Forward")</f>
        <v>Historical</v>
      </c>
      <c r="C211" s="239"/>
      <c r="D211" s="215" t="s">
        <v>328</v>
      </c>
      <c r="E211" s="216"/>
      <c r="F211" s="292" t="s">
        <v>329</v>
      </c>
      <c r="G211" s="239"/>
      <c r="H211" s="217">
        <v>6350</v>
      </c>
      <c r="I211" s="217">
        <v>6350</v>
      </c>
      <c r="J211" s="217">
        <f>AVERAGE(H211:I211)</f>
        <v>6350</v>
      </c>
      <c r="K211" s="239"/>
      <c r="L211" s="292" t="str">
        <f>IF(INDEX(MO_SNA_IsHistoricalPeriod,,MATCH(F211,MO_Common_ColumnHeader,0)),"Actual","Estimate")</f>
        <v>Actual</v>
      </c>
      <c r="M211" s="217" t="str">
        <f ca="1">IFERROR(INDEX(INDIRECT(E211),0,MATCH(F211,MO_Common_ColumnHeader,0)),"N/A")</f>
        <v>N/A</v>
      </c>
      <c r="N211" s="239"/>
      <c r="O211" s="218" t="str">
        <f ca="1">IF(ISNUMBER(M211),M211-J211,"N/A")</f>
        <v>N/A</v>
      </c>
      <c r="P211" s="219" t="str">
        <f ca="1">IFERROR(IF(ISNUMBER(M211),(M211-J211)/ABS(J211),"N/A"),"N/A")</f>
        <v>N/A</v>
      </c>
      <c r="Q211" s="239"/>
      <c r="R211" s="220">
        <v>43122</v>
      </c>
      <c r="S211" s="221" t="s">
        <v>295</v>
      </c>
      <c r="T211" s="239"/>
    </row>
    <row r="212" spans="1:20" x14ac:dyDescent="0.25">
      <c r="A212" s="208">
        <v>0</v>
      </c>
      <c r="B212" s="239"/>
      <c r="C212" s="239"/>
      <c r="D212" s="239"/>
      <c r="E212" s="227"/>
      <c r="F212" s="239"/>
      <c r="G212" s="239"/>
      <c r="H212" s="239"/>
      <c r="I212" s="239"/>
      <c r="J212" s="239"/>
      <c r="K212" s="239"/>
      <c r="L212" s="239"/>
      <c r="M212" s="239"/>
      <c r="N212" s="239"/>
      <c r="O212" s="239"/>
      <c r="P212" s="225"/>
      <c r="Q212" s="239"/>
      <c r="R212" s="238"/>
      <c r="S212" s="239"/>
      <c r="T212" s="239"/>
    </row>
    <row r="213" spans="1:20" x14ac:dyDescent="0.25">
      <c r="A213" s="192"/>
      <c r="B213" s="108"/>
      <c r="C213" s="108"/>
      <c r="D213" s="193"/>
      <c r="E213" s="194"/>
      <c r="F213" s="108"/>
      <c r="G213" s="108"/>
      <c r="H213" s="108"/>
      <c r="I213" s="108"/>
      <c r="J213" s="108"/>
      <c r="K213" s="108"/>
      <c r="L213" s="108"/>
      <c r="M213" s="193"/>
      <c r="N213" s="108"/>
      <c r="O213" s="108"/>
      <c r="P213" s="107"/>
      <c r="Q213" s="108"/>
      <c r="R213" s="195"/>
      <c r="S213" s="201"/>
      <c r="T213" s="199"/>
    </row>
  </sheetData>
  <autoFilter ref="A5:T5" xr:uid="{00000000-0009-0000-0000-000003000000}">
    <sortState xmlns:xlrd2="http://schemas.microsoft.com/office/spreadsheetml/2017/richdata2" ref="A6:T167">
      <sortCondition descending="1" ref="R6:R167"/>
    </sortState>
  </autoFilter>
  <sortState xmlns:xlrd2="http://schemas.microsoft.com/office/spreadsheetml/2017/richdata2" ref="A106:T212">
    <sortCondition descending="1" ref="A106:A212"/>
  </sortState>
  <conditionalFormatting sqref="P1:P3 P5 P202 P204:P205 P211:P213 P187 P177 P46:P47">
    <cfRule type="colorScale" priority="182">
      <colorScale>
        <cfvo type="num" val="-0.1"/>
        <cfvo type="num" val="0"/>
        <cfvo type="num" val="0.1"/>
        <color rgb="FFF8696B"/>
        <color rgb="FFFFEB84"/>
        <color rgb="FF63BE7B"/>
      </colorScale>
    </cfRule>
  </conditionalFormatting>
  <conditionalFormatting sqref="P198">
    <cfRule type="colorScale" priority="180">
      <colorScale>
        <cfvo type="num" val="-0.1"/>
        <cfvo type="num" val="0"/>
        <cfvo type="num" val="0.1"/>
        <color rgb="FFF8696B"/>
        <color rgb="FFFFEB84"/>
        <color rgb="FF63BE7B"/>
      </colorScale>
    </cfRule>
  </conditionalFormatting>
  <conditionalFormatting sqref="P201">
    <cfRule type="colorScale" priority="179">
      <colorScale>
        <cfvo type="num" val="-0.1"/>
        <cfvo type="num" val="0"/>
        <cfvo type="num" val="0.1"/>
        <color rgb="FFF8696B"/>
        <color rgb="FFFFEB84"/>
        <color rgb="FF63BE7B"/>
      </colorScale>
    </cfRule>
  </conditionalFormatting>
  <conditionalFormatting sqref="P210">
    <cfRule type="colorScale" priority="178">
      <colorScale>
        <cfvo type="num" val="-0.1"/>
        <cfvo type="num" val="0"/>
        <cfvo type="num" val="0.1"/>
        <color rgb="FFF8696B"/>
        <color rgb="FFFFEB84"/>
        <color rgb="FF63BE7B"/>
      </colorScale>
    </cfRule>
  </conditionalFormatting>
  <conditionalFormatting sqref="P209:P210">
    <cfRule type="colorScale" priority="177">
      <colorScale>
        <cfvo type="num" val="-0.1"/>
        <cfvo type="num" val="0"/>
        <cfvo type="num" val="0.1"/>
        <color rgb="FFF8696B"/>
        <color rgb="FFFFEB84"/>
        <color rgb="FF63BE7B"/>
      </colorScale>
    </cfRule>
  </conditionalFormatting>
  <conditionalFormatting sqref="P206:P207 P202">
    <cfRule type="colorScale" priority="175">
      <colorScale>
        <cfvo type="num" val="-0.1"/>
        <cfvo type="num" val="0"/>
        <cfvo type="num" val="0.1"/>
        <color rgb="FFF8696B"/>
        <color rgb="FFFFEB84"/>
        <color rgb="FF63BE7B"/>
      </colorScale>
    </cfRule>
  </conditionalFormatting>
  <conditionalFormatting sqref="P208">
    <cfRule type="colorScale" priority="174">
      <colorScale>
        <cfvo type="num" val="-0.1"/>
        <cfvo type="num" val="0"/>
        <cfvo type="num" val="0.1"/>
        <color rgb="FFF8696B"/>
        <color rgb="FFFFEB84"/>
        <color rgb="FF63BE7B"/>
      </colorScale>
    </cfRule>
  </conditionalFormatting>
  <conditionalFormatting sqref="P204:P205">
    <cfRule type="colorScale" priority="173">
      <colorScale>
        <cfvo type="num" val="-0.1"/>
        <cfvo type="num" val="0"/>
        <cfvo type="num" val="0.1"/>
        <color rgb="FFF8696B"/>
        <color rgb="FFFFEB84"/>
        <color rgb="FF63BE7B"/>
      </colorScale>
    </cfRule>
  </conditionalFormatting>
  <conditionalFormatting sqref="P203">
    <cfRule type="colorScale" priority="172">
      <colorScale>
        <cfvo type="num" val="-0.1"/>
        <cfvo type="num" val="0"/>
        <cfvo type="num" val="0.1"/>
        <color rgb="FFF8696B"/>
        <color rgb="FFFFEB84"/>
        <color rgb="FF63BE7B"/>
      </colorScale>
    </cfRule>
  </conditionalFormatting>
  <conditionalFormatting sqref="P179:P180">
    <cfRule type="colorScale" priority="171">
      <colorScale>
        <cfvo type="num" val="-0.1"/>
        <cfvo type="num" val="0"/>
        <cfvo type="num" val="0.1"/>
        <color rgb="FFF8696B"/>
        <color rgb="FFFFEB84"/>
        <color rgb="FF63BE7B"/>
      </colorScale>
    </cfRule>
  </conditionalFormatting>
  <conditionalFormatting sqref="P181">
    <cfRule type="colorScale" priority="170">
      <colorScale>
        <cfvo type="num" val="-0.1"/>
        <cfvo type="num" val="0"/>
        <cfvo type="num" val="0.1"/>
        <color rgb="FFF8696B"/>
        <color rgb="FFFFEB84"/>
        <color rgb="FF63BE7B"/>
      </colorScale>
    </cfRule>
  </conditionalFormatting>
  <conditionalFormatting sqref="P182">
    <cfRule type="colorScale" priority="169">
      <colorScale>
        <cfvo type="num" val="-0.1"/>
        <cfvo type="num" val="0"/>
        <cfvo type="num" val="0.1"/>
        <color rgb="FFF8696B"/>
        <color rgb="FFFFEB84"/>
        <color rgb="FF63BE7B"/>
      </colorScale>
    </cfRule>
  </conditionalFormatting>
  <conditionalFormatting sqref="P200:P201">
    <cfRule type="colorScale" priority="168">
      <colorScale>
        <cfvo type="num" val="-0.1"/>
        <cfvo type="num" val="0"/>
        <cfvo type="num" val="0.1"/>
        <color rgb="FFF8696B"/>
        <color rgb="FFFFEB84"/>
        <color rgb="FF63BE7B"/>
      </colorScale>
    </cfRule>
  </conditionalFormatting>
  <conditionalFormatting sqref="P200:P201">
    <cfRule type="colorScale" priority="167">
      <colorScale>
        <cfvo type="num" val="-0.1"/>
        <cfvo type="num" val="0"/>
        <cfvo type="num" val="0.1"/>
        <color rgb="FFF8696B"/>
        <color rgb="FFFFEB84"/>
        <color rgb="FF63BE7B"/>
      </colorScale>
    </cfRule>
  </conditionalFormatting>
  <conditionalFormatting sqref="P183">
    <cfRule type="colorScale" priority="166">
      <colorScale>
        <cfvo type="num" val="-0.1"/>
        <cfvo type="num" val="0"/>
        <cfvo type="num" val="0.1"/>
        <color rgb="FFF8696B"/>
        <color rgb="FFFFEB84"/>
        <color rgb="FF63BE7B"/>
      </colorScale>
    </cfRule>
  </conditionalFormatting>
  <conditionalFormatting sqref="P184">
    <cfRule type="colorScale" priority="165">
      <colorScale>
        <cfvo type="num" val="-0.1"/>
        <cfvo type="num" val="0"/>
        <cfvo type="num" val="0.1"/>
        <color rgb="FFF8696B"/>
        <color rgb="FFFFEB84"/>
        <color rgb="FF63BE7B"/>
      </colorScale>
    </cfRule>
  </conditionalFormatting>
  <conditionalFormatting sqref="P188:P189 P192 P195">
    <cfRule type="colorScale" priority="163">
      <colorScale>
        <cfvo type="num" val="-0.1"/>
        <cfvo type="num" val="0"/>
        <cfvo type="num" val="0.1"/>
        <color rgb="FFF8696B"/>
        <color rgb="FFFFEB84"/>
        <color rgb="FF63BE7B"/>
      </colorScale>
    </cfRule>
  </conditionalFormatting>
  <conditionalFormatting sqref="P185">
    <cfRule type="colorScale" priority="164">
      <colorScale>
        <cfvo type="num" val="-0.1"/>
        <cfvo type="num" val="0"/>
        <cfvo type="num" val="0.1"/>
        <color rgb="FFF8696B"/>
        <color rgb="FFFFEB84"/>
        <color rgb="FF63BE7B"/>
      </colorScale>
    </cfRule>
  </conditionalFormatting>
  <conditionalFormatting sqref="P196">
    <cfRule type="colorScale" priority="162">
      <colorScale>
        <cfvo type="num" val="-0.1"/>
        <cfvo type="num" val="0"/>
        <cfvo type="num" val="0.1"/>
        <color rgb="FFF8696B"/>
        <color rgb="FFFFEB84"/>
        <color rgb="FF63BE7B"/>
      </colorScale>
    </cfRule>
  </conditionalFormatting>
  <conditionalFormatting sqref="P186">
    <cfRule type="colorScale" priority="161">
      <colorScale>
        <cfvo type="num" val="-0.1"/>
        <cfvo type="num" val="0"/>
        <cfvo type="num" val="0.1"/>
        <color rgb="FFF8696B"/>
        <color rgb="FFFFEB84"/>
        <color rgb="FF63BE7B"/>
      </colorScale>
    </cfRule>
  </conditionalFormatting>
  <conditionalFormatting sqref="P191">
    <cfRule type="colorScale" priority="158">
      <colorScale>
        <cfvo type="num" val="-0.1"/>
        <cfvo type="num" val="0"/>
        <cfvo type="num" val="0.1"/>
        <color rgb="FFF8696B"/>
        <color rgb="FFFFEB84"/>
        <color rgb="FF63BE7B"/>
      </colorScale>
    </cfRule>
  </conditionalFormatting>
  <conditionalFormatting sqref="P190">
    <cfRule type="colorScale" priority="159">
      <colorScale>
        <cfvo type="num" val="-0.1"/>
        <cfvo type="num" val="0"/>
        <cfvo type="num" val="0.1"/>
        <color rgb="FFF8696B"/>
        <color rgb="FFFFEB84"/>
        <color rgb="FF63BE7B"/>
      </colorScale>
    </cfRule>
  </conditionalFormatting>
  <conditionalFormatting sqref="P194">
    <cfRule type="colorScale" priority="156">
      <colorScale>
        <cfvo type="num" val="-0.1"/>
        <cfvo type="num" val="0"/>
        <cfvo type="num" val="0.1"/>
        <color rgb="FFF8696B"/>
        <color rgb="FFFFEB84"/>
        <color rgb="FF63BE7B"/>
      </colorScale>
    </cfRule>
  </conditionalFormatting>
  <conditionalFormatting sqref="P193">
    <cfRule type="colorScale" priority="157">
      <colorScale>
        <cfvo type="num" val="-0.1"/>
        <cfvo type="num" val="0"/>
        <cfvo type="num" val="0.1"/>
        <color rgb="FFF8696B"/>
        <color rgb="FFFFEB84"/>
        <color rgb="FF63BE7B"/>
      </colorScale>
    </cfRule>
  </conditionalFormatting>
  <conditionalFormatting sqref="P199">
    <cfRule type="colorScale" priority="154">
      <colorScale>
        <cfvo type="num" val="-0.1"/>
        <cfvo type="num" val="0"/>
        <cfvo type="num" val="0.1"/>
        <color rgb="FFF8696B"/>
        <color rgb="FFFFEB84"/>
        <color rgb="FF63BE7B"/>
      </colorScale>
    </cfRule>
  </conditionalFormatting>
  <conditionalFormatting sqref="P197:P198">
    <cfRule type="colorScale" priority="155">
      <colorScale>
        <cfvo type="num" val="-0.1"/>
        <cfvo type="num" val="0"/>
        <cfvo type="num" val="0.1"/>
        <color rgb="FFF8696B"/>
        <color rgb="FFFFEB84"/>
        <color rgb="FF63BE7B"/>
      </colorScale>
    </cfRule>
  </conditionalFormatting>
  <conditionalFormatting sqref="P159:P160">
    <cfRule type="colorScale" priority="153">
      <colorScale>
        <cfvo type="num" val="-0.1"/>
        <cfvo type="num" val="0"/>
        <cfvo type="num" val="0.1"/>
        <color rgb="FFF8696B"/>
        <color rgb="FFFFEB84"/>
        <color rgb="FF63BE7B"/>
      </colorScale>
    </cfRule>
  </conditionalFormatting>
  <conditionalFormatting sqref="P178">
    <cfRule type="colorScale" priority="150">
      <colorScale>
        <cfvo type="num" val="-0.1"/>
        <cfvo type="num" val="0"/>
        <cfvo type="num" val="0.1"/>
        <color rgb="FFF8696B"/>
        <color rgb="FFFFEB84"/>
        <color rgb="FF63BE7B"/>
      </colorScale>
    </cfRule>
  </conditionalFormatting>
  <conditionalFormatting sqref="P178">
    <cfRule type="colorScale" priority="149">
      <colorScale>
        <cfvo type="num" val="-0.1"/>
        <cfvo type="num" val="0"/>
        <cfvo type="num" val="0.1"/>
        <color rgb="FFF8696B"/>
        <color rgb="FFFFEB84"/>
        <color rgb="FF63BE7B"/>
      </colorScale>
    </cfRule>
  </conditionalFormatting>
  <conditionalFormatting sqref="P161">
    <cfRule type="colorScale" priority="148">
      <colorScale>
        <cfvo type="num" val="-0.1"/>
        <cfvo type="num" val="0"/>
        <cfvo type="num" val="0.1"/>
        <color rgb="FFF8696B"/>
        <color rgb="FFFFEB84"/>
        <color rgb="FF63BE7B"/>
      </colorScale>
    </cfRule>
  </conditionalFormatting>
  <conditionalFormatting sqref="P162">
    <cfRule type="colorScale" priority="147">
      <colorScale>
        <cfvo type="num" val="-0.1"/>
        <cfvo type="num" val="0"/>
        <cfvo type="num" val="0.1"/>
        <color rgb="FFF8696B"/>
        <color rgb="FFFFEB84"/>
        <color rgb="FF63BE7B"/>
      </colorScale>
    </cfRule>
  </conditionalFormatting>
  <conditionalFormatting sqref="P166:P167 P170 P173">
    <cfRule type="colorScale" priority="145">
      <colorScale>
        <cfvo type="num" val="-0.1"/>
        <cfvo type="num" val="0"/>
        <cfvo type="num" val="0.1"/>
        <color rgb="FFF8696B"/>
        <color rgb="FFFFEB84"/>
        <color rgb="FF63BE7B"/>
      </colorScale>
    </cfRule>
  </conditionalFormatting>
  <conditionalFormatting sqref="P163">
    <cfRule type="colorScale" priority="146">
      <colorScale>
        <cfvo type="num" val="-0.1"/>
        <cfvo type="num" val="0"/>
        <cfvo type="num" val="0.1"/>
        <color rgb="FFF8696B"/>
        <color rgb="FFFFEB84"/>
        <color rgb="FF63BE7B"/>
      </colorScale>
    </cfRule>
  </conditionalFormatting>
  <conditionalFormatting sqref="P174">
    <cfRule type="colorScale" priority="144">
      <colorScale>
        <cfvo type="num" val="-0.1"/>
        <cfvo type="num" val="0"/>
        <cfvo type="num" val="0.1"/>
        <color rgb="FFF8696B"/>
        <color rgb="FFFFEB84"/>
        <color rgb="FF63BE7B"/>
      </colorScale>
    </cfRule>
  </conditionalFormatting>
  <conditionalFormatting sqref="P164">
    <cfRule type="colorScale" priority="143">
      <colorScale>
        <cfvo type="num" val="-0.1"/>
        <cfvo type="num" val="0"/>
        <cfvo type="num" val="0.1"/>
        <color rgb="FFF8696B"/>
        <color rgb="FFFFEB84"/>
        <color rgb="FF63BE7B"/>
      </colorScale>
    </cfRule>
  </conditionalFormatting>
  <conditionalFormatting sqref="P165">
    <cfRule type="colorScale" priority="142">
      <colorScale>
        <cfvo type="num" val="-0.1"/>
        <cfvo type="num" val="0"/>
        <cfvo type="num" val="0.1"/>
        <color rgb="FFF8696B"/>
        <color rgb="FFFFEB84"/>
        <color rgb="FF63BE7B"/>
      </colorScale>
    </cfRule>
  </conditionalFormatting>
  <conditionalFormatting sqref="P169">
    <cfRule type="colorScale" priority="140">
      <colorScale>
        <cfvo type="num" val="-0.1"/>
        <cfvo type="num" val="0"/>
        <cfvo type="num" val="0.1"/>
        <color rgb="FFF8696B"/>
        <color rgb="FFFFEB84"/>
        <color rgb="FF63BE7B"/>
      </colorScale>
    </cfRule>
  </conditionalFormatting>
  <conditionalFormatting sqref="P168">
    <cfRule type="colorScale" priority="141">
      <colorScale>
        <cfvo type="num" val="-0.1"/>
        <cfvo type="num" val="0"/>
        <cfvo type="num" val="0.1"/>
        <color rgb="FFF8696B"/>
        <color rgb="FFFFEB84"/>
        <color rgb="FF63BE7B"/>
      </colorScale>
    </cfRule>
  </conditionalFormatting>
  <conditionalFormatting sqref="P172">
    <cfRule type="colorScale" priority="138">
      <colorScale>
        <cfvo type="num" val="-0.1"/>
        <cfvo type="num" val="0"/>
        <cfvo type="num" val="0.1"/>
        <color rgb="FFF8696B"/>
        <color rgb="FFFFEB84"/>
        <color rgb="FF63BE7B"/>
      </colorScale>
    </cfRule>
  </conditionalFormatting>
  <conditionalFormatting sqref="P171">
    <cfRule type="colorScale" priority="139">
      <colorScale>
        <cfvo type="num" val="-0.1"/>
        <cfvo type="num" val="0"/>
        <cfvo type="num" val="0.1"/>
        <color rgb="FFF8696B"/>
        <color rgb="FFFFEB84"/>
        <color rgb="FF63BE7B"/>
      </colorScale>
    </cfRule>
  </conditionalFormatting>
  <conditionalFormatting sqref="P176:P177">
    <cfRule type="colorScale" priority="136">
      <colorScale>
        <cfvo type="num" val="-0.1"/>
        <cfvo type="num" val="0"/>
        <cfvo type="num" val="0.1"/>
        <color rgb="FFF8696B"/>
        <color rgb="FFFFEB84"/>
        <color rgb="FF63BE7B"/>
      </colorScale>
    </cfRule>
  </conditionalFormatting>
  <conditionalFormatting sqref="P175">
    <cfRule type="colorScale" priority="137">
      <colorScale>
        <cfvo type="num" val="-0.1"/>
        <cfvo type="num" val="0"/>
        <cfvo type="num" val="0.1"/>
        <color rgb="FFF8696B"/>
        <color rgb="FFFFEB84"/>
        <color rgb="FF63BE7B"/>
      </colorScale>
    </cfRule>
  </conditionalFormatting>
  <conditionalFormatting sqref="P141:P142">
    <cfRule type="colorScale" priority="135">
      <colorScale>
        <cfvo type="num" val="-0.1"/>
        <cfvo type="num" val="0"/>
        <cfvo type="num" val="0.1"/>
        <color rgb="FFF8696B"/>
        <color rgb="FFFFEB84"/>
        <color rgb="FF63BE7B"/>
      </colorScale>
    </cfRule>
  </conditionalFormatting>
  <conditionalFormatting sqref="P144">
    <cfRule type="colorScale" priority="134">
      <colorScale>
        <cfvo type="num" val="-0.1"/>
        <cfvo type="num" val="0"/>
        <cfvo type="num" val="0.1"/>
        <color rgb="FFF8696B"/>
        <color rgb="FFFFEB84"/>
        <color rgb="FF63BE7B"/>
      </colorScale>
    </cfRule>
  </conditionalFormatting>
  <conditionalFormatting sqref="P145">
    <cfRule type="colorScale" priority="133">
      <colorScale>
        <cfvo type="num" val="-0.1"/>
        <cfvo type="num" val="0"/>
        <cfvo type="num" val="0.1"/>
        <color rgb="FFF8696B"/>
        <color rgb="FFFFEB84"/>
        <color rgb="FF63BE7B"/>
      </colorScale>
    </cfRule>
  </conditionalFormatting>
  <conditionalFormatting sqref="P149:P150 P153 P156">
    <cfRule type="colorScale" priority="131">
      <colorScale>
        <cfvo type="num" val="-0.1"/>
        <cfvo type="num" val="0"/>
        <cfvo type="num" val="0.1"/>
        <color rgb="FFF8696B"/>
        <color rgb="FFFFEB84"/>
        <color rgb="FF63BE7B"/>
      </colorScale>
    </cfRule>
  </conditionalFormatting>
  <conditionalFormatting sqref="P146">
    <cfRule type="colorScale" priority="132">
      <colorScale>
        <cfvo type="num" val="-0.1"/>
        <cfvo type="num" val="0"/>
        <cfvo type="num" val="0.1"/>
        <color rgb="FFF8696B"/>
        <color rgb="FFFFEB84"/>
        <color rgb="FF63BE7B"/>
      </colorScale>
    </cfRule>
  </conditionalFormatting>
  <conditionalFormatting sqref="P157">
    <cfRule type="colorScale" priority="130">
      <colorScale>
        <cfvo type="num" val="-0.1"/>
        <cfvo type="num" val="0"/>
        <cfvo type="num" val="0.1"/>
        <color rgb="FFF8696B"/>
        <color rgb="FFFFEB84"/>
        <color rgb="FF63BE7B"/>
      </colorScale>
    </cfRule>
  </conditionalFormatting>
  <conditionalFormatting sqref="P147">
    <cfRule type="colorScale" priority="129">
      <colorScale>
        <cfvo type="num" val="-0.1"/>
        <cfvo type="num" val="0"/>
        <cfvo type="num" val="0.1"/>
        <color rgb="FFF8696B"/>
        <color rgb="FFFFEB84"/>
        <color rgb="FF63BE7B"/>
      </colorScale>
    </cfRule>
  </conditionalFormatting>
  <conditionalFormatting sqref="P148">
    <cfRule type="colorScale" priority="128">
      <colorScale>
        <cfvo type="num" val="-0.1"/>
        <cfvo type="num" val="0"/>
        <cfvo type="num" val="0.1"/>
        <color rgb="FFF8696B"/>
        <color rgb="FFFFEB84"/>
        <color rgb="FF63BE7B"/>
      </colorScale>
    </cfRule>
  </conditionalFormatting>
  <conditionalFormatting sqref="P152">
    <cfRule type="colorScale" priority="126">
      <colorScale>
        <cfvo type="num" val="-0.1"/>
        <cfvo type="num" val="0"/>
        <cfvo type="num" val="0.1"/>
        <color rgb="FFF8696B"/>
        <color rgb="FFFFEB84"/>
        <color rgb="FF63BE7B"/>
      </colorScale>
    </cfRule>
  </conditionalFormatting>
  <conditionalFormatting sqref="P155">
    <cfRule type="colorScale" priority="124">
      <colorScale>
        <cfvo type="num" val="-0.1"/>
        <cfvo type="num" val="0"/>
        <cfvo type="num" val="0.1"/>
        <color rgb="FFF8696B"/>
        <color rgb="FFFFEB84"/>
        <color rgb="FF63BE7B"/>
      </colorScale>
    </cfRule>
  </conditionalFormatting>
  <conditionalFormatting sqref="P154">
    <cfRule type="colorScale" priority="125">
      <colorScale>
        <cfvo type="num" val="-0.1"/>
        <cfvo type="num" val="0"/>
        <cfvo type="num" val="0.1"/>
        <color rgb="FFF8696B"/>
        <color rgb="FFFFEB84"/>
        <color rgb="FF63BE7B"/>
      </colorScale>
    </cfRule>
  </conditionalFormatting>
  <conditionalFormatting sqref="Q158">
    <cfRule type="colorScale" priority="121">
      <colorScale>
        <cfvo type="num" val="-0.1"/>
        <cfvo type="num" val="0"/>
        <cfvo type="num" val="0.1"/>
        <color rgb="FFF8696B"/>
        <color rgb="FFFFEB84"/>
        <color rgb="FF63BE7B"/>
      </colorScale>
    </cfRule>
  </conditionalFormatting>
  <conditionalFormatting sqref="Q158">
    <cfRule type="colorScale" priority="120">
      <colorScale>
        <cfvo type="num" val="-0.1"/>
        <cfvo type="num" val="0"/>
        <cfvo type="num" val="0.1"/>
        <color rgb="FFF8696B"/>
        <color rgb="FFFFEB84"/>
        <color rgb="FF63BE7B"/>
      </colorScale>
    </cfRule>
  </conditionalFormatting>
  <conditionalFormatting sqref="P151">
    <cfRule type="colorScale" priority="119">
      <colorScale>
        <cfvo type="num" val="-0.1"/>
        <cfvo type="num" val="0"/>
        <cfvo type="num" val="0.1"/>
        <color rgb="FFF8696B"/>
        <color rgb="FFFFEB84"/>
        <color rgb="FF63BE7B"/>
      </colorScale>
    </cfRule>
  </conditionalFormatting>
  <conditionalFormatting sqref="P143">
    <cfRule type="colorScale" priority="118">
      <colorScale>
        <cfvo type="num" val="-0.1"/>
        <cfvo type="num" val="0"/>
        <cfvo type="num" val="0.1"/>
        <color rgb="FFF8696B"/>
        <color rgb="FFFFEB84"/>
        <color rgb="FF63BE7B"/>
      </colorScale>
    </cfRule>
  </conditionalFormatting>
  <conditionalFormatting sqref="P123:P124">
    <cfRule type="colorScale" priority="117">
      <colorScale>
        <cfvo type="num" val="-0.1"/>
        <cfvo type="num" val="0"/>
        <cfvo type="num" val="0.1"/>
        <color rgb="FFF8696B"/>
        <color rgb="FFFFEB84"/>
        <color rgb="FF63BE7B"/>
      </colorScale>
    </cfRule>
  </conditionalFormatting>
  <conditionalFormatting sqref="P126">
    <cfRule type="colorScale" priority="116">
      <colorScale>
        <cfvo type="num" val="-0.1"/>
        <cfvo type="num" val="0"/>
        <cfvo type="num" val="0.1"/>
        <color rgb="FFF8696B"/>
        <color rgb="FFFFEB84"/>
        <color rgb="FF63BE7B"/>
      </colorScale>
    </cfRule>
  </conditionalFormatting>
  <conditionalFormatting sqref="P127">
    <cfRule type="colorScale" priority="115">
      <colorScale>
        <cfvo type="num" val="-0.1"/>
        <cfvo type="num" val="0"/>
        <cfvo type="num" val="0.1"/>
        <color rgb="FFF8696B"/>
        <color rgb="FFFFEB84"/>
        <color rgb="FF63BE7B"/>
      </colorScale>
    </cfRule>
  </conditionalFormatting>
  <conditionalFormatting sqref="P131:P132 P135 P138">
    <cfRule type="colorScale" priority="113">
      <colorScale>
        <cfvo type="num" val="-0.1"/>
        <cfvo type="num" val="0"/>
        <cfvo type="num" val="0.1"/>
        <color rgb="FFF8696B"/>
        <color rgb="FFFFEB84"/>
        <color rgb="FF63BE7B"/>
      </colorScale>
    </cfRule>
  </conditionalFormatting>
  <conditionalFormatting sqref="P128">
    <cfRule type="colorScale" priority="114">
      <colorScale>
        <cfvo type="num" val="-0.1"/>
        <cfvo type="num" val="0"/>
        <cfvo type="num" val="0.1"/>
        <color rgb="FFF8696B"/>
        <color rgb="FFFFEB84"/>
        <color rgb="FF63BE7B"/>
      </colorScale>
    </cfRule>
  </conditionalFormatting>
  <conditionalFormatting sqref="P139">
    <cfRule type="colorScale" priority="112">
      <colorScale>
        <cfvo type="num" val="-0.1"/>
        <cfvo type="num" val="0"/>
        <cfvo type="num" val="0.1"/>
        <color rgb="FFF8696B"/>
        <color rgb="FFFFEB84"/>
        <color rgb="FF63BE7B"/>
      </colorScale>
    </cfRule>
  </conditionalFormatting>
  <conditionalFormatting sqref="P129">
    <cfRule type="colorScale" priority="111">
      <colorScale>
        <cfvo type="num" val="-0.1"/>
        <cfvo type="num" val="0"/>
        <cfvo type="num" val="0.1"/>
        <color rgb="FFF8696B"/>
        <color rgb="FFFFEB84"/>
        <color rgb="FF63BE7B"/>
      </colorScale>
    </cfRule>
  </conditionalFormatting>
  <conditionalFormatting sqref="P130">
    <cfRule type="colorScale" priority="110">
      <colorScale>
        <cfvo type="num" val="-0.1"/>
        <cfvo type="num" val="0"/>
        <cfvo type="num" val="0.1"/>
        <color rgb="FFF8696B"/>
        <color rgb="FFFFEB84"/>
        <color rgb="FF63BE7B"/>
      </colorScale>
    </cfRule>
  </conditionalFormatting>
  <conditionalFormatting sqref="P134">
    <cfRule type="colorScale" priority="109">
      <colorScale>
        <cfvo type="num" val="-0.1"/>
        <cfvo type="num" val="0"/>
        <cfvo type="num" val="0.1"/>
        <color rgb="FFF8696B"/>
        <color rgb="FFFFEB84"/>
        <color rgb="FF63BE7B"/>
      </colorScale>
    </cfRule>
  </conditionalFormatting>
  <conditionalFormatting sqref="P137">
    <cfRule type="colorScale" priority="107">
      <colorScale>
        <cfvo type="num" val="-0.1"/>
        <cfvo type="num" val="0"/>
        <cfvo type="num" val="0.1"/>
        <color rgb="FFF8696B"/>
        <color rgb="FFFFEB84"/>
        <color rgb="FF63BE7B"/>
      </colorScale>
    </cfRule>
  </conditionalFormatting>
  <conditionalFormatting sqref="P136">
    <cfRule type="colorScale" priority="108">
      <colorScale>
        <cfvo type="num" val="-0.1"/>
        <cfvo type="num" val="0"/>
        <cfvo type="num" val="0.1"/>
        <color rgb="FFF8696B"/>
        <color rgb="FFFFEB84"/>
        <color rgb="FF63BE7B"/>
      </colorScale>
    </cfRule>
  </conditionalFormatting>
  <conditionalFormatting sqref="Q140">
    <cfRule type="colorScale" priority="105">
      <colorScale>
        <cfvo type="num" val="-0.1"/>
        <cfvo type="num" val="0"/>
        <cfvo type="num" val="0.1"/>
        <color rgb="FFF8696B"/>
        <color rgb="FFFFEB84"/>
        <color rgb="FF63BE7B"/>
      </colorScale>
    </cfRule>
  </conditionalFormatting>
  <conditionalFormatting sqref="Q140">
    <cfRule type="colorScale" priority="104">
      <colorScale>
        <cfvo type="num" val="-0.1"/>
        <cfvo type="num" val="0"/>
        <cfvo type="num" val="0.1"/>
        <color rgb="FFF8696B"/>
        <color rgb="FFFFEB84"/>
        <color rgb="FF63BE7B"/>
      </colorScale>
    </cfRule>
  </conditionalFormatting>
  <conditionalFormatting sqref="P133">
    <cfRule type="colorScale" priority="103">
      <colorScale>
        <cfvo type="num" val="-0.1"/>
        <cfvo type="num" val="0"/>
        <cfvo type="num" val="0.1"/>
        <color rgb="FFF8696B"/>
        <color rgb="FFFFEB84"/>
        <color rgb="FF63BE7B"/>
      </colorScale>
    </cfRule>
  </conditionalFormatting>
  <conditionalFormatting sqref="P125">
    <cfRule type="colorScale" priority="102">
      <colorScale>
        <cfvo type="num" val="-0.1"/>
        <cfvo type="num" val="0"/>
        <cfvo type="num" val="0.1"/>
        <color rgb="FFF8696B"/>
        <color rgb="FFFFEB84"/>
        <color rgb="FF63BE7B"/>
      </colorScale>
    </cfRule>
  </conditionalFormatting>
  <conditionalFormatting sqref="P106:P107">
    <cfRule type="colorScale" priority="96">
      <colorScale>
        <cfvo type="num" val="-0.1"/>
        <cfvo type="num" val="0"/>
        <cfvo type="num" val="0.1"/>
        <color rgb="FFF8696B"/>
        <color rgb="FFFFEB84"/>
        <color rgb="FF63BE7B"/>
      </colorScale>
    </cfRule>
  </conditionalFormatting>
  <conditionalFormatting sqref="P109">
    <cfRule type="colorScale" priority="95">
      <colorScale>
        <cfvo type="num" val="-0.1"/>
        <cfvo type="num" val="0"/>
        <cfvo type="num" val="0.1"/>
        <color rgb="FFF8696B"/>
        <color rgb="FFFFEB84"/>
        <color rgb="FF63BE7B"/>
      </colorScale>
    </cfRule>
  </conditionalFormatting>
  <conditionalFormatting sqref="P110">
    <cfRule type="colorScale" priority="94">
      <colorScale>
        <cfvo type="num" val="-0.1"/>
        <cfvo type="num" val="0"/>
        <cfvo type="num" val="0.1"/>
        <color rgb="FFF8696B"/>
        <color rgb="FFFFEB84"/>
        <color rgb="FF63BE7B"/>
      </colorScale>
    </cfRule>
  </conditionalFormatting>
  <conditionalFormatting sqref="P114:P115 P117 P120">
    <cfRule type="colorScale" priority="92">
      <colorScale>
        <cfvo type="num" val="-0.1"/>
        <cfvo type="num" val="0"/>
        <cfvo type="num" val="0.1"/>
        <color rgb="FFF8696B"/>
        <color rgb="FFFFEB84"/>
        <color rgb="FF63BE7B"/>
      </colorScale>
    </cfRule>
  </conditionalFormatting>
  <conditionalFormatting sqref="P111">
    <cfRule type="colorScale" priority="93">
      <colorScale>
        <cfvo type="num" val="-0.1"/>
        <cfvo type="num" val="0"/>
        <cfvo type="num" val="0.1"/>
        <color rgb="FFF8696B"/>
        <color rgb="FFFFEB84"/>
        <color rgb="FF63BE7B"/>
      </colorScale>
    </cfRule>
  </conditionalFormatting>
  <conditionalFormatting sqref="P121">
    <cfRule type="colorScale" priority="91">
      <colorScale>
        <cfvo type="num" val="-0.1"/>
        <cfvo type="num" val="0"/>
        <cfvo type="num" val="0.1"/>
        <color rgb="FFF8696B"/>
        <color rgb="FFFFEB84"/>
        <color rgb="FF63BE7B"/>
      </colorScale>
    </cfRule>
  </conditionalFormatting>
  <conditionalFormatting sqref="P112">
    <cfRule type="colorScale" priority="90">
      <colorScale>
        <cfvo type="num" val="-0.1"/>
        <cfvo type="num" val="0"/>
        <cfvo type="num" val="0.1"/>
        <color rgb="FFF8696B"/>
        <color rgb="FFFFEB84"/>
        <color rgb="FF63BE7B"/>
      </colorScale>
    </cfRule>
  </conditionalFormatting>
  <conditionalFormatting sqref="P113">
    <cfRule type="colorScale" priority="89">
      <colorScale>
        <cfvo type="num" val="-0.1"/>
        <cfvo type="num" val="0"/>
        <cfvo type="num" val="0.1"/>
        <color rgb="FFF8696B"/>
        <color rgb="FFFFEB84"/>
        <color rgb="FF63BE7B"/>
      </colorScale>
    </cfRule>
  </conditionalFormatting>
  <conditionalFormatting sqref="P119">
    <cfRule type="colorScale" priority="86">
      <colorScale>
        <cfvo type="num" val="-0.1"/>
        <cfvo type="num" val="0"/>
        <cfvo type="num" val="0.1"/>
        <color rgb="FFF8696B"/>
        <color rgb="FFFFEB84"/>
        <color rgb="FF63BE7B"/>
      </colorScale>
    </cfRule>
  </conditionalFormatting>
  <conditionalFormatting sqref="P118">
    <cfRule type="colorScale" priority="87">
      <colorScale>
        <cfvo type="num" val="-0.1"/>
        <cfvo type="num" val="0"/>
        <cfvo type="num" val="0.1"/>
        <color rgb="FFF8696B"/>
        <color rgb="FFFFEB84"/>
        <color rgb="FF63BE7B"/>
      </colorScale>
    </cfRule>
  </conditionalFormatting>
  <conditionalFormatting sqref="Q122">
    <cfRule type="colorScale" priority="84">
      <colorScale>
        <cfvo type="num" val="-0.1"/>
        <cfvo type="num" val="0"/>
        <cfvo type="num" val="0.1"/>
        <color rgb="FFF8696B"/>
        <color rgb="FFFFEB84"/>
        <color rgb="FF63BE7B"/>
      </colorScale>
    </cfRule>
  </conditionalFormatting>
  <conditionalFormatting sqref="Q122">
    <cfRule type="colorScale" priority="83">
      <colorScale>
        <cfvo type="num" val="-0.1"/>
        <cfvo type="num" val="0"/>
        <cfvo type="num" val="0.1"/>
        <color rgb="FFF8696B"/>
        <color rgb="FFFFEB84"/>
        <color rgb="FF63BE7B"/>
      </colorScale>
    </cfRule>
  </conditionalFormatting>
  <conditionalFormatting sqref="P116">
    <cfRule type="colorScale" priority="82">
      <colorScale>
        <cfvo type="num" val="-0.1"/>
        <cfvo type="num" val="0"/>
        <cfvo type="num" val="0.1"/>
        <color rgb="FFF8696B"/>
        <color rgb="FFFFEB84"/>
        <color rgb="FF63BE7B"/>
      </colorScale>
    </cfRule>
  </conditionalFormatting>
  <conditionalFormatting sqref="P108">
    <cfRule type="colorScale" priority="81">
      <colorScale>
        <cfvo type="num" val="-0.1"/>
        <cfvo type="num" val="0"/>
        <cfvo type="num" val="0.1"/>
        <color rgb="FFF8696B"/>
        <color rgb="FFFFEB84"/>
        <color rgb="FF63BE7B"/>
      </colorScale>
    </cfRule>
  </conditionalFormatting>
  <conditionalFormatting sqref="P89:P90">
    <cfRule type="colorScale" priority="80">
      <colorScale>
        <cfvo type="num" val="-0.1"/>
        <cfvo type="num" val="0"/>
        <cfvo type="num" val="0.1"/>
        <color rgb="FFF8696B"/>
        <color rgb="FFFFEB84"/>
        <color rgb="FF63BE7B"/>
      </colorScale>
    </cfRule>
  </conditionalFormatting>
  <conditionalFormatting sqref="P92">
    <cfRule type="colorScale" priority="79">
      <colorScale>
        <cfvo type="num" val="-0.1"/>
        <cfvo type="num" val="0"/>
        <cfvo type="num" val="0.1"/>
        <color rgb="FFF8696B"/>
        <color rgb="FFFFEB84"/>
        <color rgb="FF63BE7B"/>
      </colorScale>
    </cfRule>
  </conditionalFormatting>
  <conditionalFormatting sqref="P93">
    <cfRule type="colorScale" priority="78">
      <colorScale>
        <cfvo type="num" val="-0.1"/>
        <cfvo type="num" val="0"/>
        <cfvo type="num" val="0.1"/>
        <color rgb="FFF8696B"/>
        <color rgb="FFFFEB84"/>
        <color rgb="FF63BE7B"/>
      </colorScale>
    </cfRule>
  </conditionalFormatting>
  <conditionalFormatting sqref="P97:P98 P100 P103">
    <cfRule type="colorScale" priority="76">
      <colorScale>
        <cfvo type="num" val="-0.1"/>
        <cfvo type="num" val="0"/>
        <cfvo type="num" val="0.1"/>
        <color rgb="FFF8696B"/>
        <color rgb="FFFFEB84"/>
        <color rgb="FF63BE7B"/>
      </colorScale>
    </cfRule>
  </conditionalFormatting>
  <conditionalFormatting sqref="P94">
    <cfRule type="colorScale" priority="77">
      <colorScale>
        <cfvo type="num" val="-0.1"/>
        <cfvo type="num" val="0"/>
        <cfvo type="num" val="0.1"/>
        <color rgb="FFF8696B"/>
        <color rgb="FFFFEB84"/>
        <color rgb="FF63BE7B"/>
      </colorScale>
    </cfRule>
  </conditionalFormatting>
  <conditionalFormatting sqref="P104">
    <cfRule type="colorScale" priority="75">
      <colorScale>
        <cfvo type="num" val="-0.1"/>
        <cfvo type="num" val="0"/>
        <cfvo type="num" val="0.1"/>
        <color rgb="FFF8696B"/>
        <color rgb="FFFFEB84"/>
        <color rgb="FF63BE7B"/>
      </colorScale>
    </cfRule>
  </conditionalFormatting>
  <conditionalFormatting sqref="P95">
    <cfRule type="colorScale" priority="74">
      <colorScale>
        <cfvo type="num" val="-0.1"/>
        <cfvo type="num" val="0"/>
        <cfvo type="num" val="0.1"/>
        <color rgb="FFF8696B"/>
        <color rgb="FFFFEB84"/>
        <color rgb="FF63BE7B"/>
      </colorScale>
    </cfRule>
  </conditionalFormatting>
  <conditionalFormatting sqref="P96">
    <cfRule type="colorScale" priority="73">
      <colorScale>
        <cfvo type="num" val="-0.1"/>
        <cfvo type="num" val="0"/>
        <cfvo type="num" val="0.1"/>
        <color rgb="FFF8696B"/>
        <color rgb="FFFFEB84"/>
        <color rgb="FF63BE7B"/>
      </colorScale>
    </cfRule>
  </conditionalFormatting>
  <conditionalFormatting sqref="P102">
    <cfRule type="colorScale" priority="71">
      <colorScale>
        <cfvo type="num" val="-0.1"/>
        <cfvo type="num" val="0"/>
        <cfvo type="num" val="0.1"/>
        <color rgb="FFF8696B"/>
        <color rgb="FFFFEB84"/>
        <color rgb="FF63BE7B"/>
      </colorScale>
    </cfRule>
  </conditionalFormatting>
  <conditionalFormatting sqref="P101">
    <cfRule type="colorScale" priority="72">
      <colorScale>
        <cfvo type="num" val="-0.1"/>
        <cfvo type="num" val="0"/>
        <cfvo type="num" val="0.1"/>
        <color rgb="FFF8696B"/>
        <color rgb="FFFFEB84"/>
        <color rgb="FF63BE7B"/>
      </colorScale>
    </cfRule>
  </conditionalFormatting>
  <conditionalFormatting sqref="P99">
    <cfRule type="colorScale" priority="68">
      <colorScale>
        <cfvo type="num" val="-0.1"/>
        <cfvo type="num" val="0"/>
        <cfvo type="num" val="0.1"/>
        <color rgb="FFF8696B"/>
        <color rgb="FFFFEB84"/>
        <color rgb="FF63BE7B"/>
      </colorScale>
    </cfRule>
  </conditionalFormatting>
  <conditionalFormatting sqref="P91">
    <cfRule type="colorScale" priority="67">
      <colorScale>
        <cfvo type="num" val="-0.1"/>
        <cfvo type="num" val="0"/>
        <cfvo type="num" val="0.1"/>
        <color rgb="FFF8696B"/>
        <color rgb="FFFFEB84"/>
        <color rgb="FF63BE7B"/>
      </colorScale>
    </cfRule>
  </conditionalFormatting>
  <conditionalFormatting sqref="P87 P85">
    <cfRule type="colorScale" priority="63">
      <colorScale>
        <cfvo type="num" val="-0.1"/>
        <cfvo type="num" val="0"/>
        <cfvo type="num" val="0.1"/>
        <color rgb="FFF8696B"/>
        <color rgb="FFFFEB84"/>
        <color rgb="FF63BE7B"/>
      </colorScale>
    </cfRule>
  </conditionalFormatting>
  <conditionalFormatting sqref="P87">
    <cfRule type="colorScale" priority="64">
      <colorScale>
        <cfvo type="num" val="-0.1"/>
        <cfvo type="num" val="0"/>
        <cfvo type="num" val="0.1"/>
        <color rgb="FFF8696B"/>
        <color rgb="FFFFEB84"/>
        <color rgb="FF63BE7B"/>
      </colorScale>
    </cfRule>
  </conditionalFormatting>
  <conditionalFormatting sqref="P77:P78">
    <cfRule type="colorScale" priority="62">
      <colorScale>
        <cfvo type="num" val="-0.1"/>
        <cfvo type="num" val="0"/>
        <cfvo type="num" val="0.1"/>
        <color rgb="FFF8696B"/>
        <color rgb="FFFFEB84"/>
        <color rgb="FF63BE7B"/>
      </colorScale>
    </cfRule>
  </conditionalFormatting>
  <conditionalFormatting sqref="P80">
    <cfRule type="colorScale" priority="61">
      <colorScale>
        <cfvo type="num" val="-0.1"/>
        <cfvo type="num" val="0"/>
        <cfvo type="num" val="0.1"/>
        <color rgb="FFF8696B"/>
        <color rgb="FFFFEB84"/>
        <color rgb="FF63BE7B"/>
      </colorScale>
    </cfRule>
  </conditionalFormatting>
  <conditionalFormatting sqref="P81">
    <cfRule type="colorScale" priority="60">
      <colorScale>
        <cfvo type="num" val="-0.1"/>
        <cfvo type="num" val="0"/>
        <cfvo type="num" val="0.1"/>
        <color rgb="FFF8696B"/>
        <color rgb="FFFFEB84"/>
        <color rgb="FF63BE7B"/>
      </colorScale>
    </cfRule>
  </conditionalFormatting>
  <conditionalFormatting sqref="P82:P83">
    <cfRule type="colorScale" priority="58">
      <colorScale>
        <cfvo type="num" val="-0.1"/>
        <cfvo type="num" val="0"/>
        <cfvo type="num" val="0.1"/>
        <color rgb="FFF8696B"/>
        <color rgb="FFFFEB84"/>
        <color rgb="FF63BE7B"/>
      </colorScale>
    </cfRule>
  </conditionalFormatting>
  <conditionalFormatting sqref="P79">
    <cfRule type="colorScale" priority="51">
      <colorScale>
        <cfvo type="num" val="-0.1"/>
        <cfvo type="num" val="0"/>
        <cfvo type="num" val="0.1"/>
        <color rgb="FFF8696B"/>
        <color rgb="FFFFEB84"/>
        <color rgb="FF63BE7B"/>
      </colorScale>
    </cfRule>
  </conditionalFormatting>
  <conditionalFormatting sqref="P75">
    <cfRule type="colorScale" priority="49">
      <colorScale>
        <cfvo type="num" val="-0.1"/>
        <cfvo type="num" val="0"/>
        <cfvo type="num" val="0.1"/>
        <color rgb="FFF8696B"/>
        <color rgb="FFFFEB84"/>
        <color rgb="FF63BE7B"/>
      </colorScale>
    </cfRule>
  </conditionalFormatting>
  <conditionalFormatting sqref="P66:P67">
    <cfRule type="colorScale" priority="48">
      <colorScale>
        <cfvo type="num" val="-0.1"/>
        <cfvo type="num" val="0"/>
        <cfvo type="num" val="0.1"/>
        <color rgb="FFF8696B"/>
        <color rgb="FFFFEB84"/>
        <color rgb="FF63BE7B"/>
      </colorScale>
    </cfRule>
  </conditionalFormatting>
  <conditionalFormatting sqref="P70">
    <cfRule type="colorScale" priority="47">
      <colorScale>
        <cfvo type="num" val="-0.1"/>
        <cfvo type="num" val="0"/>
        <cfvo type="num" val="0.1"/>
        <color rgb="FFF8696B"/>
        <color rgb="FFFFEB84"/>
        <color rgb="FF63BE7B"/>
      </colorScale>
    </cfRule>
  </conditionalFormatting>
  <conditionalFormatting sqref="P71">
    <cfRule type="colorScale" priority="46">
      <colorScale>
        <cfvo type="num" val="-0.1"/>
        <cfvo type="num" val="0"/>
        <cfvo type="num" val="0.1"/>
        <color rgb="FFF8696B"/>
        <color rgb="FFFFEB84"/>
        <color rgb="FF63BE7B"/>
      </colorScale>
    </cfRule>
  </conditionalFormatting>
  <conditionalFormatting sqref="P72:P73">
    <cfRule type="colorScale" priority="45">
      <colorScale>
        <cfvo type="num" val="-0.1"/>
        <cfvo type="num" val="0"/>
        <cfvo type="num" val="0.1"/>
        <color rgb="FFF8696B"/>
        <color rgb="FFFFEB84"/>
        <color rgb="FF63BE7B"/>
      </colorScale>
    </cfRule>
  </conditionalFormatting>
  <conditionalFormatting sqref="P68">
    <cfRule type="colorScale" priority="44">
      <colorScale>
        <cfvo type="num" val="-0.1"/>
        <cfvo type="num" val="0"/>
        <cfvo type="num" val="0.1"/>
        <color rgb="FFF8696B"/>
        <color rgb="FFFFEB84"/>
        <color rgb="FF63BE7B"/>
      </colorScale>
    </cfRule>
  </conditionalFormatting>
  <conditionalFormatting sqref="P69">
    <cfRule type="colorScale" priority="42">
      <colorScale>
        <cfvo type="num" val="-0.1"/>
        <cfvo type="num" val="0"/>
        <cfvo type="num" val="0.1"/>
        <color rgb="FFF8696B"/>
        <color rgb="FFFFEB84"/>
        <color rgb="FF63BE7B"/>
      </colorScale>
    </cfRule>
  </conditionalFormatting>
  <conditionalFormatting sqref="P57:P58">
    <cfRule type="colorScale" priority="41">
      <colorScale>
        <cfvo type="num" val="-0.1"/>
        <cfvo type="num" val="0"/>
        <cfvo type="num" val="0.1"/>
        <color rgb="FFF8696B"/>
        <color rgb="FFFFEB84"/>
        <color rgb="FF63BE7B"/>
      </colorScale>
    </cfRule>
  </conditionalFormatting>
  <conditionalFormatting sqref="P61">
    <cfRule type="colorScale" priority="40">
      <colorScale>
        <cfvo type="num" val="-0.1"/>
        <cfvo type="num" val="0"/>
        <cfvo type="num" val="0.1"/>
        <color rgb="FFF8696B"/>
        <color rgb="FFFFEB84"/>
        <color rgb="FF63BE7B"/>
      </colorScale>
    </cfRule>
  </conditionalFormatting>
  <conditionalFormatting sqref="P62">
    <cfRule type="colorScale" priority="39">
      <colorScale>
        <cfvo type="num" val="-0.1"/>
        <cfvo type="num" val="0"/>
        <cfvo type="num" val="0.1"/>
        <color rgb="FFF8696B"/>
        <color rgb="FFFFEB84"/>
        <color rgb="FF63BE7B"/>
      </colorScale>
    </cfRule>
  </conditionalFormatting>
  <conditionalFormatting sqref="P63:P64">
    <cfRule type="colorScale" priority="38">
      <colorScale>
        <cfvo type="num" val="-0.1"/>
        <cfvo type="num" val="0"/>
        <cfvo type="num" val="0.1"/>
        <color rgb="FFF8696B"/>
        <color rgb="FFFFEB84"/>
        <color rgb="FF63BE7B"/>
      </colorScale>
    </cfRule>
  </conditionalFormatting>
  <conditionalFormatting sqref="P59">
    <cfRule type="colorScale" priority="37">
      <colorScale>
        <cfvo type="num" val="-0.1"/>
        <cfvo type="num" val="0"/>
        <cfvo type="num" val="0.1"/>
        <color rgb="FFF8696B"/>
        <color rgb="FFFFEB84"/>
        <color rgb="FF63BE7B"/>
      </colorScale>
    </cfRule>
  </conditionalFormatting>
  <conditionalFormatting sqref="P60">
    <cfRule type="colorScale" priority="36">
      <colorScale>
        <cfvo type="num" val="-0.1"/>
        <cfvo type="num" val="0"/>
        <cfvo type="num" val="0.1"/>
        <color rgb="FFF8696B"/>
        <color rgb="FFFFEB84"/>
        <color rgb="FF63BE7B"/>
      </colorScale>
    </cfRule>
  </conditionalFormatting>
  <conditionalFormatting sqref="P48:P49">
    <cfRule type="colorScale" priority="35">
      <colorScale>
        <cfvo type="num" val="-0.1"/>
        <cfvo type="num" val="0"/>
        <cfvo type="num" val="0.1"/>
        <color rgb="FFF8696B"/>
        <color rgb="FFFFEB84"/>
        <color rgb="FF63BE7B"/>
      </colorScale>
    </cfRule>
  </conditionalFormatting>
  <conditionalFormatting sqref="P52">
    <cfRule type="colorScale" priority="34">
      <colorScale>
        <cfvo type="num" val="-0.1"/>
        <cfvo type="num" val="0"/>
        <cfvo type="num" val="0.1"/>
        <color rgb="FFF8696B"/>
        <color rgb="FFFFEB84"/>
        <color rgb="FF63BE7B"/>
      </colorScale>
    </cfRule>
  </conditionalFormatting>
  <conditionalFormatting sqref="P53">
    <cfRule type="colorScale" priority="33">
      <colorScale>
        <cfvo type="num" val="-0.1"/>
        <cfvo type="num" val="0"/>
        <cfvo type="num" val="0.1"/>
        <color rgb="FFF8696B"/>
        <color rgb="FFFFEB84"/>
        <color rgb="FF63BE7B"/>
      </colorScale>
    </cfRule>
  </conditionalFormatting>
  <conditionalFormatting sqref="P54:P55">
    <cfRule type="colorScale" priority="32">
      <colorScale>
        <cfvo type="num" val="-0.1"/>
        <cfvo type="num" val="0"/>
        <cfvo type="num" val="0.1"/>
        <color rgb="FFF8696B"/>
        <color rgb="FFFFEB84"/>
        <color rgb="FF63BE7B"/>
      </colorScale>
    </cfRule>
  </conditionalFormatting>
  <conditionalFormatting sqref="P50">
    <cfRule type="colorScale" priority="31">
      <colorScale>
        <cfvo type="num" val="-0.1"/>
        <cfvo type="num" val="0"/>
        <cfvo type="num" val="0.1"/>
        <color rgb="FFF8696B"/>
        <color rgb="FFFFEB84"/>
        <color rgb="FF63BE7B"/>
      </colorScale>
    </cfRule>
  </conditionalFormatting>
  <conditionalFormatting sqref="P51">
    <cfRule type="colorScale" priority="30">
      <colorScale>
        <cfvo type="num" val="-0.1"/>
        <cfvo type="num" val="0"/>
        <cfvo type="num" val="0.1"/>
        <color rgb="FFF8696B"/>
        <color rgb="FFFFEB84"/>
        <color rgb="FF63BE7B"/>
      </colorScale>
    </cfRule>
  </conditionalFormatting>
  <conditionalFormatting sqref="P46">
    <cfRule type="colorScale" priority="29">
      <colorScale>
        <cfvo type="num" val="-0.1"/>
        <cfvo type="num" val="0"/>
        <cfvo type="num" val="0.1"/>
        <color rgb="FFF8696B"/>
        <color rgb="FFFFEB84"/>
        <color rgb="FF63BE7B"/>
      </colorScale>
    </cfRule>
  </conditionalFormatting>
  <conditionalFormatting sqref="P44:P45">
    <cfRule type="colorScale" priority="28">
      <colorScale>
        <cfvo type="num" val="-0.1"/>
        <cfvo type="num" val="0"/>
        <cfvo type="num" val="0.1"/>
        <color rgb="FFF8696B"/>
        <color rgb="FFFFEB84"/>
        <color rgb="FF63BE7B"/>
      </colorScale>
    </cfRule>
  </conditionalFormatting>
  <conditionalFormatting sqref="P44">
    <cfRule type="colorScale" priority="27">
      <colorScale>
        <cfvo type="num" val="-0.1"/>
        <cfvo type="num" val="0"/>
        <cfvo type="num" val="0.1"/>
        <color rgb="FFF8696B"/>
        <color rgb="FFFFEB84"/>
        <color rgb="FF63BE7B"/>
      </colorScale>
    </cfRule>
  </conditionalFormatting>
  <conditionalFormatting sqref="P35:P36">
    <cfRule type="colorScale" priority="26">
      <colorScale>
        <cfvo type="num" val="-0.1"/>
        <cfvo type="num" val="0"/>
        <cfvo type="num" val="0.1"/>
        <color rgb="FFF8696B"/>
        <color rgb="FFFFEB84"/>
        <color rgb="FF63BE7B"/>
      </colorScale>
    </cfRule>
  </conditionalFormatting>
  <conditionalFormatting sqref="P39">
    <cfRule type="colorScale" priority="25">
      <colorScale>
        <cfvo type="num" val="-0.1"/>
        <cfvo type="num" val="0"/>
        <cfvo type="num" val="0.1"/>
        <color rgb="FFF8696B"/>
        <color rgb="FFFFEB84"/>
        <color rgb="FF63BE7B"/>
      </colorScale>
    </cfRule>
  </conditionalFormatting>
  <conditionalFormatting sqref="P40">
    <cfRule type="colorScale" priority="24">
      <colorScale>
        <cfvo type="num" val="-0.1"/>
        <cfvo type="num" val="0"/>
        <cfvo type="num" val="0.1"/>
        <color rgb="FFF8696B"/>
        <color rgb="FFFFEB84"/>
        <color rgb="FF63BE7B"/>
      </colorScale>
    </cfRule>
  </conditionalFormatting>
  <conditionalFormatting sqref="P41:P42">
    <cfRule type="colorScale" priority="23">
      <colorScale>
        <cfvo type="num" val="-0.1"/>
        <cfvo type="num" val="0"/>
        <cfvo type="num" val="0.1"/>
        <color rgb="FFF8696B"/>
        <color rgb="FFFFEB84"/>
        <color rgb="FF63BE7B"/>
      </colorScale>
    </cfRule>
  </conditionalFormatting>
  <conditionalFormatting sqref="P37">
    <cfRule type="colorScale" priority="22">
      <colorScale>
        <cfvo type="num" val="-0.1"/>
        <cfvo type="num" val="0"/>
        <cfvo type="num" val="0.1"/>
        <color rgb="FFF8696B"/>
        <color rgb="FFFFEB84"/>
        <color rgb="FF63BE7B"/>
      </colorScale>
    </cfRule>
  </conditionalFormatting>
  <conditionalFormatting sqref="P38">
    <cfRule type="colorScale" priority="21">
      <colorScale>
        <cfvo type="num" val="-0.1"/>
        <cfvo type="num" val="0"/>
        <cfvo type="num" val="0.1"/>
        <color rgb="FFF8696B"/>
        <color rgb="FFFFEB84"/>
        <color rgb="FF63BE7B"/>
      </colorScale>
    </cfRule>
  </conditionalFormatting>
  <conditionalFormatting sqref="P26:P27">
    <cfRule type="colorScale" priority="20">
      <colorScale>
        <cfvo type="num" val="-0.1"/>
        <cfvo type="num" val="0"/>
        <cfvo type="num" val="0.1"/>
        <color rgb="FFF8696B"/>
        <color rgb="FFFFEB84"/>
        <color rgb="FF63BE7B"/>
      </colorScale>
    </cfRule>
  </conditionalFormatting>
  <conditionalFormatting sqref="P30">
    <cfRule type="colorScale" priority="19">
      <colorScale>
        <cfvo type="num" val="-0.1"/>
        <cfvo type="num" val="0"/>
        <cfvo type="num" val="0.1"/>
        <color rgb="FFF8696B"/>
        <color rgb="FFFFEB84"/>
        <color rgb="FF63BE7B"/>
      </colorScale>
    </cfRule>
  </conditionalFormatting>
  <conditionalFormatting sqref="P31">
    <cfRule type="colorScale" priority="18">
      <colorScale>
        <cfvo type="num" val="-0.1"/>
        <cfvo type="num" val="0"/>
        <cfvo type="num" val="0.1"/>
        <color rgb="FFF8696B"/>
        <color rgb="FFFFEB84"/>
        <color rgb="FF63BE7B"/>
      </colorScale>
    </cfRule>
  </conditionalFormatting>
  <conditionalFormatting sqref="P32:P33">
    <cfRule type="colorScale" priority="17">
      <colorScale>
        <cfvo type="num" val="-0.1"/>
        <cfvo type="num" val="0"/>
        <cfvo type="num" val="0.1"/>
        <color rgb="FFF8696B"/>
        <color rgb="FFFFEB84"/>
        <color rgb="FF63BE7B"/>
      </colorScale>
    </cfRule>
  </conditionalFormatting>
  <conditionalFormatting sqref="P28">
    <cfRule type="colorScale" priority="16">
      <colorScale>
        <cfvo type="num" val="-0.1"/>
        <cfvo type="num" val="0"/>
        <cfvo type="num" val="0.1"/>
        <color rgb="FFF8696B"/>
        <color rgb="FFFFEB84"/>
        <color rgb="FF63BE7B"/>
      </colorScale>
    </cfRule>
  </conditionalFormatting>
  <conditionalFormatting sqref="P29">
    <cfRule type="colorScale" priority="15">
      <colorScale>
        <cfvo type="num" val="-0.1"/>
        <cfvo type="num" val="0"/>
        <cfvo type="num" val="0.1"/>
        <color rgb="FFF8696B"/>
        <color rgb="FFFFEB84"/>
        <color rgb="FF63BE7B"/>
      </colorScale>
    </cfRule>
  </conditionalFormatting>
  <conditionalFormatting sqref="P17:P18">
    <cfRule type="colorScale" priority="14">
      <colorScale>
        <cfvo type="num" val="-0.1"/>
        <cfvo type="num" val="0"/>
        <cfvo type="num" val="0.1"/>
        <color rgb="FFF8696B"/>
        <color rgb="FFFFEB84"/>
        <color rgb="FF63BE7B"/>
      </colorScale>
    </cfRule>
  </conditionalFormatting>
  <conditionalFormatting sqref="P21">
    <cfRule type="colorScale" priority="13">
      <colorScale>
        <cfvo type="num" val="-0.1"/>
        <cfvo type="num" val="0"/>
        <cfvo type="num" val="0.1"/>
        <color rgb="FFF8696B"/>
        <color rgb="FFFFEB84"/>
        <color rgb="FF63BE7B"/>
      </colorScale>
    </cfRule>
  </conditionalFormatting>
  <conditionalFormatting sqref="P22">
    <cfRule type="colorScale" priority="12">
      <colorScale>
        <cfvo type="num" val="-0.1"/>
        <cfvo type="num" val="0"/>
        <cfvo type="num" val="0.1"/>
        <color rgb="FFF8696B"/>
        <color rgb="FFFFEB84"/>
        <color rgb="FF63BE7B"/>
      </colorScale>
    </cfRule>
  </conditionalFormatting>
  <conditionalFormatting sqref="P23:P24">
    <cfRule type="colorScale" priority="11">
      <colorScale>
        <cfvo type="num" val="-0.1"/>
        <cfvo type="num" val="0"/>
        <cfvo type="num" val="0.1"/>
        <color rgb="FFF8696B"/>
        <color rgb="FFFFEB84"/>
        <color rgb="FF63BE7B"/>
      </colorScale>
    </cfRule>
  </conditionalFormatting>
  <conditionalFormatting sqref="P19">
    <cfRule type="colorScale" priority="10">
      <colorScale>
        <cfvo type="num" val="-0.1"/>
        <cfvo type="num" val="0"/>
        <cfvo type="num" val="0.1"/>
        <color rgb="FFF8696B"/>
        <color rgb="FFFFEB84"/>
        <color rgb="FF63BE7B"/>
      </colorScale>
    </cfRule>
  </conditionalFormatting>
  <conditionalFormatting sqref="P20">
    <cfRule type="colorScale" priority="9">
      <colorScale>
        <cfvo type="num" val="-0.1"/>
        <cfvo type="num" val="0"/>
        <cfvo type="num" val="0.1"/>
        <color rgb="FFF8696B"/>
        <color rgb="FFFFEB84"/>
        <color rgb="FF63BE7B"/>
      </colorScale>
    </cfRule>
  </conditionalFormatting>
  <conditionalFormatting sqref="P8:P9">
    <cfRule type="colorScale" priority="8">
      <colorScale>
        <cfvo type="num" val="-0.1"/>
        <cfvo type="num" val="0"/>
        <cfvo type="num" val="0.1"/>
        <color rgb="FFF8696B"/>
        <color rgb="FFFFEB84"/>
        <color rgb="FF63BE7B"/>
      </colorScale>
    </cfRule>
  </conditionalFormatting>
  <conditionalFormatting sqref="P12">
    <cfRule type="colorScale" priority="7">
      <colorScale>
        <cfvo type="num" val="-0.1"/>
        <cfvo type="num" val="0"/>
        <cfvo type="num" val="0.1"/>
        <color rgb="FFF8696B"/>
        <color rgb="FFFFEB84"/>
        <color rgb="FF63BE7B"/>
      </colorScale>
    </cfRule>
  </conditionalFormatting>
  <conditionalFormatting sqref="P13">
    <cfRule type="colorScale" priority="6">
      <colorScale>
        <cfvo type="num" val="-0.1"/>
        <cfvo type="num" val="0"/>
        <cfvo type="num" val="0.1"/>
        <color rgb="FFF8696B"/>
        <color rgb="FFFFEB84"/>
        <color rgb="FF63BE7B"/>
      </colorScale>
    </cfRule>
  </conditionalFormatting>
  <conditionalFormatting sqref="P14:P15">
    <cfRule type="colorScale" priority="5">
      <colorScale>
        <cfvo type="num" val="-0.1"/>
        <cfvo type="num" val="0"/>
        <cfvo type="num" val="0.1"/>
        <color rgb="FFF8696B"/>
        <color rgb="FFFFEB84"/>
        <color rgb="FF63BE7B"/>
      </colorScale>
    </cfRule>
  </conditionalFormatting>
  <conditionalFormatting sqref="P10">
    <cfRule type="colorScale" priority="4">
      <colorScale>
        <cfvo type="num" val="-0.1"/>
        <cfvo type="num" val="0"/>
        <cfvo type="num" val="0.1"/>
        <color rgb="FFF8696B"/>
        <color rgb="FFFFEB84"/>
        <color rgb="FF63BE7B"/>
      </colorScale>
    </cfRule>
  </conditionalFormatting>
  <conditionalFormatting sqref="P11">
    <cfRule type="colorScale" priority="3">
      <colorScale>
        <cfvo type="num" val="-0.1"/>
        <cfvo type="num" val="0"/>
        <cfvo type="num" val="0.1"/>
        <color rgb="FFF8696B"/>
        <color rgb="FFFFEB84"/>
        <color rgb="FF63BE7B"/>
      </colorScale>
    </cfRule>
  </conditionalFormatting>
  <conditionalFormatting sqref="P6:P7">
    <cfRule type="colorScale" priority="2">
      <colorScale>
        <cfvo type="num" val="-0.1"/>
        <cfvo type="num" val="0"/>
        <cfvo type="num" val="0.1"/>
        <color rgb="FFF8696B"/>
        <color rgb="FFFFEB84"/>
        <color rgb="FF63BE7B"/>
      </colorScale>
    </cfRule>
  </conditionalFormatting>
  <conditionalFormatting sqref="P6">
    <cfRule type="colorScale" priority="1">
      <colorScale>
        <cfvo type="num" val="-0.1"/>
        <cfvo type="num" val="0"/>
        <cfvo type="num" val="0.1"/>
        <color rgb="FFF8696B"/>
        <color rgb="FFFFEB84"/>
        <color rgb="FF63BE7B"/>
      </colorScale>
    </cfRule>
  </conditionalFormatting>
  <hyperlinks>
    <hyperlink ref="S123" r:id="rId1" xr:uid="{00000000-0004-0000-0300-000000000000}"/>
    <hyperlink ref="S124" r:id="rId2" xr:uid="{00000000-0004-0000-0300-000001000000}"/>
    <hyperlink ref="S125" r:id="rId3" xr:uid="{00000000-0004-0000-0300-000002000000}"/>
    <hyperlink ref="S126" r:id="rId4" xr:uid="{00000000-0004-0000-0300-000003000000}"/>
    <hyperlink ref="S127" r:id="rId5" xr:uid="{00000000-0004-0000-0300-000004000000}"/>
    <hyperlink ref="S128" r:id="rId6" xr:uid="{00000000-0004-0000-0300-000005000000}"/>
    <hyperlink ref="S129" r:id="rId7" xr:uid="{00000000-0004-0000-0300-000006000000}"/>
    <hyperlink ref="S130" r:id="rId8" xr:uid="{00000000-0004-0000-0300-000007000000}"/>
    <hyperlink ref="S131" r:id="rId9" xr:uid="{00000000-0004-0000-0300-000008000000}"/>
    <hyperlink ref="S132" r:id="rId10" xr:uid="{00000000-0004-0000-0300-000009000000}"/>
    <hyperlink ref="S133" r:id="rId11" xr:uid="{00000000-0004-0000-0300-00000A000000}"/>
    <hyperlink ref="S134" r:id="rId12" xr:uid="{00000000-0004-0000-0300-00000B000000}"/>
    <hyperlink ref="S135" r:id="rId13" xr:uid="{00000000-0004-0000-0300-00000C000000}"/>
    <hyperlink ref="S136" r:id="rId14" xr:uid="{00000000-0004-0000-0300-00000D000000}"/>
    <hyperlink ref="S137" r:id="rId15" xr:uid="{00000000-0004-0000-0300-00000E000000}"/>
    <hyperlink ref="S138" r:id="rId16" xr:uid="{00000000-0004-0000-0300-00000F000000}"/>
    <hyperlink ref="S139" r:id="rId17" xr:uid="{00000000-0004-0000-0300-000010000000}"/>
    <hyperlink ref="S141" r:id="rId18" xr:uid="{00000000-0004-0000-0300-000011000000}"/>
    <hyperlink ref="S142" r:id="rId19" xr:uid="{00000000-0004-0000-0300-000012000000}"/>
    <hyperlink ref="S143" r:id="rId20" xr:uid="{00000000-0004-0000-0300-000013000000}"/>
    <hyperlink ref="S144" r:id="rId21" xr:uid="{00000000-0004-0000-0300-000014000000}"/>
    <hyperlink ref="S145" r:id="rId22" xr:uid="{00000000-0004-0000-0300-000015000000}"/>
    <hyperlink ref="S146" r:id="rId23" xr:uid="{00000000-0004-0000-0300-000016000000}"/>
    <hyperlink ref="S147" r:id="rId24" xr:uid="{00000000-0004-0000-0300-000017000000}"/>
    <hyperlink ref="S148" r:id="rId25" xr:uid="{00000000-0004-0000-0300-000018000000}"/>
    <hyperlink ref="S149" r:id="rId26" xr:uid="{00000000-0004-0000-0300-000019000000}"/>
    <hyperlink ref="S150" r:id="rId27" xr:uid="{00000000-0004-0000-0300-00001A000000}"/>
    <hyperlink ref="S151" r:id="rId28" xr:uid="{00000000-0004-0000-0300-00001B000000}"/>
    <hyperlink ref="S152" r:id="rId29" xr:uid="{00000000-0004-0000-0300-00001C000000}"/>
    <hyperlink ref="S153" r:id="rId30" xr:uid="{00000000-0004-0000-0300-00001D000000}"/>
    <hyperlink ref="S154" r:id="rId31" xr:uid="{00000000-0004-0000-0300-00001E000000}"/>
    <hyperlink ref="S155" r:id="rId32" xr:uid="{00000000-0004-0000-0300-00001F000000}"/>
    <hyperlink ref="S156" r:id="rId33" xr:uid="{00000000-0004-0000-0300-000020000000}"/>
    <hyperlink ref="S157" r:id="rId34" xr:uid="{00000000-0004-0000-0300-000021000000}"/>
    <hyperlink ref="S159" r:id="rId35" xr:uid="{00000000-0004-0000-0300-000022000000}"/>
    <hyperlink ref="S160" r:id="rId36" xr:uid="{00000000-0004-0000-0300-000023000000}"/>
    <hyperlink ref="S161" r:id="rId37" xr:uid="{00000000-0004-0000-0300-000024000000}"/>
    <hyperlink ref="S162" r:id="rId38" xr:uid="{00000000-0004-0000-0300-000025000000}"/>
    <hyperlink ref="S163" r:id="rId39" xr:uid="{00000000-0004-0000-0300-000026000000}"/>
    <hyperlink ref="S164" r:id="rId40" xr:uid="{00000000-0004-0000-0300-000027000000}"/>
    <hyperlink ref="S165" r:id="rId41" xr:uid="{00000000-0004-0000-0300-000028000000}"/>
    <hyperlink ref="S166" r:id="rId42" xr:uid="{00000000-0004-0000-0300-000029000000}"/>
    <hyperlink ref="S167" r:id="rId43" xr:uid="{00000000-0004-0000-0300-00002A000000}"/>
    <hyperlink ref="S168" r:id="rId44" xr:uid="{00000000-0004-0000-0300-00002B000000}"/>
    <hyperlink ref="S169" r:id="rId45" xr:uid="{00000000-0004-0000-0300-00002C000000}"/>
    <hyperlink ref="S170" r:id="rId46" xr:uid="{00000000-0004-0000-0300-00002D000000}"/>
    <hyperlink ref="S171" r:id="rId47" xr:uid="{00000000-0004-0000-0300-00002E000000}"/>
    <hyperlink ref="S172" r:id="rId48" xr:uid="{00000000-0004-0000-0300-00002F000000}"/>
    <hyperlink ref="S173" r:id="rId49" xr:uid="{00000000-0004-0000-0300-000030000000}"/>
    <hyperlink ref="S174" r:id="rId50" xr:uid="{00000000-0004-0000-0300-000031000000}"/>
    <hyperlink ref="S175" r:id="rId51" xr:uid="{00000000-0004-0000-0300-000032000000}"/>
    <hyperlink ref="S176" r:id="rId52" xr:uid="{00000000-0004-0000-0300-000033000000}"/>
    <hyperlink ref="S178" r:id="rId53" xr:uid="{00000000-0004-0000-0300-000034000000}"/>
    <hyperlink ref="S179" r:id="rId54" xr:uid="{00000000-0004-0000-0300-000035000000}"/>
    <hyperlink ref="S180" r:id="rId55" xr:uid="{00000000-0004-0000-0300-000036000000}"/>
    <hyperlink ref="S181" r:id="rId56" xr:uid="{00000000-0004-0000-0300-000037000000}"/>
    <hyperlink ref="S182" r:id="rId57" xr:uid="{00000000-0004-0000-0300-000038000000}"/>
    <hyperlink ref="S183" r:id="rId58" xr:uid="{00000000-0004-0000-0300-000039000000}"/>
    <hyperlink ref="S184" r:id="rId59" xr:uid="{00000000-0004-0000-0300-00003A000000}"/>
    <hyperlink ref="S185" r:id="rId60" xr:uid="{00000000-0004-0000-0300-00003B000000}"/>
    <hyperlink ref="S186" r:id="rId61" xr:uid="{00000000-0004-0000-0300-00003C000000}"/>
    <hyperlink ref="S187" r:id="rId62" xr:uid="{00000000-0004-0000-0300-00003D000000}"/>
    <hyperlink ref="S188" r:id="rId63" xr:uid="{00000000-0004-0000-0300-00003E000000}"/>
    <hyperlink ref="S189" r:id="rId64" xr:uid="{00000000-0004-0000-0300-00003F000000}"/>
    <hyperlink ref="S190" r:id="rId65" xr:uid="{00000000-0004-0000-0300-000040000000}"/>
    <hyperlink ref="S191" r:id="rId66" xr:uid="{00000000-0004-0000-0300-000041000000}"/>
    <hyperlink ref="S192" r:id="rId67" xr:uid="{00000000-0004-0000-0300-000042000000}"/>
    <hyperlink ref="S193" r:id="rId68" xr:uid="{00000000-0004-0000-0300-000043000000}"/>
    <hyperlink ref="S194" r:id="rId69" xr:uid="{00000000-0004-0000-0300-000044000000}"/>
    <hyperlink ref="S195" r:id="rId70" xr:uid="{00000000-0004-0000-0300-000045000000}"/>
    <hyperlink ref="S196" r:id="rId71" xr:uid="{00000000-0004-0000-0300-000046000000}"/>
    <hyperlink ref="S197" r:id="rId72" xr:uid="{00000000-0004-0000-0300-000047000000}"/>
    <hyperlink ref="S199" r:id="rId73" xr:uid="{00000000-0004-0000-0300-000048000000}"/>
    <hyperlink ref="S200" r:id="rId74" xr:uid="{00000000-0004-0000-0300-000049000000}"/>
    <hyperlink ref="S202" r:id="rId75" xr:uid="{00000000-0004-0000-0300-00004A000000}"/>
    <hyperlink ref="S203" r:id="rId76" xr:uid="{00000000-0004-0000-0300-00004B000000}"/>
    <hyperlink ref="S204" r:id="rId77" xr:uid="{00000000-0004-0000-0300-00004C000000}"/>
    <hyperlink ref="S206" r:id="rId78" xr:uid="{00000000-0004-0000-0300-00004D000000}"/>
    <hyperlink ref="S207" r:id="rId79" xr:uid="{00000000-0004-0000-0300-00004E000000}"/>
    <hyperlink ref="S208" r:id="rId80" xr:uid="{00000000-0004-0000-0300-00004F000000}"/>
    <hyperlink ref="S209" r:id="rId81" xr:uid="{00000000-0004-0000-0300-000050000000}"/>
    <hyperlink ref="S211" r:id="rId82" xr:uid="{00000000-0004-0000-0300-000051000000}"/>
    <hyperlink ref="S106" r:id="rId83" xr:uid="{00000000-0004-0000-0300-000052000000}"/>
    <hyperlink ref="S107" r:id="rId84" xr:uid="{00000000-0004-0000-0300-000053000000}"/>
    <hyperlink ref="S108" r:id="rId85" xr:uid="{00000000-0004-0000-0300-000054000000}"/>
    <hyperlink ref="S109" r:id="rId86" xr:uid="{00000000-0004-0000-0300-000055000000}"/>
    <hyperlink ref="S110" r:id="rId87" xr:uid="{00000000-0004-0000-0300-000056000000}"/>
    <hyperlink ref="S111" r:id="rId88" xr:uid="{00000000-0004-0000-0300-000057000000}"/>
    <hyperlink ref="S112" r:id="rId89" xr:uid="{00000000-0004-0000-0300-000058000000}"/>
    <hyperlink ref="S113" r:id="rId90" xr:uid="{00000000-0004-0000-0300-000059000000}"/>
    <hyperlink ref="S114" r:id="rId91" xr:uid="{00000000-0004-0000-0300-00005A000000}"/>
    <hyperlink ref="S115" r:id="rId92" xr:uid="{00000000-0004-0000-0300-00005B000000}"/>
    <hyperlink ref="S116" r:id="rId93" xr:uid="{00000000-0004-0000-0300-00005C000000}"/>
    <hyperlink ref="S117" r:id="rId94" xr:uid="{00000000-0004-0000-0300-00005D000000}"/>
    <hyperlink ref="S118" r:id="rId95" xr:uid="{00000000-0004-0000-0300-00005E000000}"/>
    <hyperlink ref="S119" r:id="rId96" xr:uid="{00000000-0004-0000-0300-00005F000000}"/>
    <hyperlink ref="S120" r:id="rId97" xr:uid="{00000000-0004-0000-0300-000060000000}"/>
    <hyperlink ref="S121" r:id="rId98" xr:uid="{00000000-0004-0000-0300-000061000000}"/>
    <hyperlink ref="S89" r:id="rId99" xr:uid="{00000000-0004-0000-0300-000062000000}"/>
    <hyperlink ref="S90" r:id="rId100" xr:uid="{00000000-0004-0000-0300-000063000000}"/>
    <hyperlink ref="S91" r:id="rId101" xr:uid="{00000000-0004-0000-0300-000064000000}"/>
    <hyperlink ref="S92" r:id="rId102" xr:uid="{00000000-0004-0000-0300-000065000000}"/>
    <hyperlink ref="S93" r:id="rId103" xr:uid="{00000000-0004-0000-0300-000066000000}"/>
    <hyperlink ref="S94" r:id="rId104" xr:uid="{00000000-0004-0000-0300-000067000000}"/>
    <hyperlink ref="S95" r:id="rId105" xr:uid="{00000000-0004-0000-0300-000068000000}"/>
    <hyperlink ref="S96" r:id="rId106" xr:uid="{00000000-0004-0000-0300-000069000000}"/>
    <hyperlink ref="S97" r:id="rId107" xr:uid="{00000000-0004-0000-0300-00006A000000}"/>
    <hyperlink ref="S98" r:id="rId108" xr:uid="{00000000-0004-0000-0300-00006B000000}"/>
    <hyperlink ref="S99" r:id="rId109" xr:uid="{00000000-0004-0000-0300-00006C000000}"/>
    <hyperlink ref="S100" r:id="rId110" xr:uid="{00000000-0004-0000-0300-00006D000000}"/>
    <hyperlink ref="S101" r:id="rId111" xr:uid="{00000000-0004-0000-0300-00006E000000}"/>
    <hyperlink ref="S102" r:id="rId112" xr:uid="{00000000-0004-0000-0300-00006F000000}"/>
    <hyperlink ref="S103" r:id="rId113" xr:uid="{00000000-0004-0000-0300-000070000000}"/>
    <hyperlink ref="S104" r:id="rId114" xr:uid="{00000000-0004-0000-0300-000071000000}"/>
    <hyperlink ref="S87" r:id="rId115" xr:uid="{00000000-0004-0000-0300-000072000000}"/>
    <hyperlink ref="S85" r:id="rId116" xr:uid="{00000000-0004-0000-0300-000073000000}"/>
    <hyperlink ref="S75" r:id="rId117" xr:uid="{00000000-0004-0000-0300-000074000000}"/>
    <hyperlink ref="S77" r:id="rId118" xr:uid="{00000000-0004-0000-0300-000075000000}"/>
    <hyperlink ref="S78" r:id="rId119" xr:uid="{00000000-0004-0000-0300-000076000000}"/>
    <hyperlink ref="S79" r:id="rId120" xr:uid="{00000000-0004-0000-0300-000077000000}"/>
    <hyperlink ref="S80" r:id="rId121" xr:uid="{00000000-0004-0000-0300-000078000000}"/>
    <hyperlink ref="S81" r:id="rId122" xr:uid="{00000000-0004-0000-0300-000079000000}"/>
    <hyperlink ref="S82" r:id="rId123" xr:uid="{00000000-0004-0000-0300-00007A000000}"/>
    <hyperlink ref="S83" r:id="rId124" xr:uid="{00000000-0004-0000-0300-00007B000000}"/>
    <hyperlink ref="S66" r:id="rId125" xr:uid="{00000000-0004-0000-0300-00007C000000}"/>
    <hyperlink ref="S67" r:id="rId126" xr:uid="{00000000-0004-0000-0300-00007D000000}"/>
    <hyperlink ref="S68" r:id="rId127" xr:uid="{00000000-0004-0000-0300-00007E000000}"/>
    <hyperlink ref="S69" r:id="rId128" xr:uid="{00000000-0004-0000-0300-00007F000000}"/>
    <hyperlink ref="S70" r:id="rId129" xr:uid="{00000000-0004-0000-0300-000080000000}"/>
    <hyperlink ref="S71" r:id="rId130" xr:uid="{00000000-0004-0000-0300-000081000000}"/>
    <hyperlink ref="S72" r:id="rId131" xr:uid="{00000000-0004-0000-0300-000082000000}"/>
    <hyperlink ref="S73" r:id="rId132" xr:uid="{00000000-0004-0000-0300-000083000000}"/>
    <hyperlink ref="S57" r:id="rId133" xr:uid="{00000000-0004-0000-0300-000084000000}"/>
    <hyperlink ref="S58" r:id="rId134" xr:uid="{00000000-0004-0000-0300-000085000000}"/>
    <hyperlink ref="S59" r:id="rId135" xr:uid="{00000000-0004-0000-0300-000086000000}"/>
    <hyperlink ref="S60" r:id="rId136" xr:uid="{00000000-0004-0000-0300-000087000000}"/>
    <hyperlink ref="S61" r:id="rId137" xr:uid="{00000000-0004-0000-0300-000088000000}"/>
    <hyperlink ref="S62" r:id="rId138" xr:uid="{00000000-0004-0000-0300-000089000000}"/>
    <hyperlink ref="S63" r:id="rId139" xr:uid="{00000000-0004-0000-0300-00008A000000}"/>
    <hyperlink ref="S64" r:id="rId140" xr:uid="{00000000-0004-0000-0300-00008B000000}"/>
    <hyperlink ref="S48" r:id="rId141" xr:uid="{00000000-0004-0000-0300-00008C000000}"/>
    <hyperlink ref="S49" r:id="rId142" xr:uid="{00000000-0004-0000-0300-00008D000000}"/>
    <hyperlink ref="S50" r:id="rId143" xr:uid="{00000000-0004-0000-0300-00008E000000}"/>
    <hyperlink ref="S51" r:id="rId144" xr:uid="{00000000-0004-0000-0300-00008F000000}"/>
    <hyperlink ref="S52" r:id="rId145" xr:uid="{00000000-0004-0000-0300-000090000000}"/>
    <hyperlink ref="S53" r:id="rId146" xr:uid="{00000000-0004-0000-0300-000091000000}"/>
    <hyperlink ref="S54" r:id="rId147" xr:uid="{00000000-0004-0000-0300-000092000000}"/>
    <hyperlink ref="S55" r:id="rId148" xr:uid="{00000000-0004-0000-0300-000093000000}"/>
    <hyperlink ref="S46" r:id="rId149" xr:uid="{00000000-0004-0000-0300-000094000000}"/>
    <hyperlink ref="S44" r:id="rId150" xr:uid="{00000000-0004-0000-0300-000095000000}"/>
    <hyperlink ref="S35" r:id="rId151" xr:uid="{00000000-0004-0000-0300-000096000000}"/>
    <hyperlink ref="S36" r:id="rId152" xr:uid="{00000000-0004-0000-0300-000097000000}"/>
    <hyperlink ref="S37" r:id="rId153" xr:uid="{00000000-0004-0000-0300-000098000000}"/>
    <hyperlink ref="S38" r:id="rId154" xr:uid="{00000000-0004-0000-0300-000099000000}"/>
    <hyperlink ref="S39" r:id="rId155" xr:uid="{00000000-0004-0000-0300-00009A000000}"/>
    <hyperlink ref="S40" r:id="rId156" xr:uid="{00000000-0004-0000-0300-00009B000000}"/>
    <hyperlink ref="S41" r:id="rId157" xr:uid="{00000000-0004-0000-0300-00009C000000}"/>
    <hyperlink ref="S42" r:id="rId158" xr:uid="{00000000-0004-0000-0300-00009D000000}"/>
    <hyperlink ref="S35:S42" r:id="rId159" display="Press Release" xr:uid="{00000000-0004-0000-0300-00009E000000}"/>
    <hyperlink ref="S26" r:id="rId160" xr:uid="{00000000-0004-0000-0300-00009F000000}"/>
    <hyperlink ref="S27:S33" r:id="rId161" display="Press Release" xr:uid="{00000000-0004-0000-0300-0000A0000000}"/>
    <hyperlink ref="S17" r:id="rId162" xr:uid="{00000000-0004-0000-0300-0000A1000000}"/>
    <hyperlink ref="S18:S24" r:id="rId163" display="Press Release" xr:uid="{00000000-0004-0000-0300-0000A2000000}"/>
    <hyperlink ref="S8" r:id="rId164" xr:uid="{00000000-0004-0000-0300-0000A3000000}"/>
    <hyperlink ref="S9:S15" r:id="rId165" display="Press Release" xr:uid="{00000000-0004-0000-0300-0000A4000000}"/>
    <hyperlink ref="S6" r:id="rId166" xr:uid="{00000000-0004-0000-0300-0000A5000000}"/>
  </hyperlinks>
  <pageMargins left="0.7" right="0.7" top="0.75" bottom="0.75" header="0.3" footer="0.3"/>
  <pageSetup orientation="portrait"/>
  <legacyDrawing r:id="rId16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BH138"/>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ColWidth="9.140625" defaultRowHeight="15" outlineLevelRow="1" outlineLevelCol="1" x14ac:dyDescent="0.25"/>
  <cols>
    <col min="1" max="1" width="41.28515625" customWidth="1"/>
    <col min="2" max="6" width="9.7109375" customWidth="1"/>
    <col min="7" max="10" width="9.7109375" hidden="1" customWidth="1" outlineLevel="1"/>
    <col min="11" max="11" width="9.7109375" customWidth="1" collapsed="1"/>
    <col min="12" max="15" width="9.7109375" hidden="1" customWidth="1" outlineLevel="1"/>
    <col min="16" max="16" width="9.7109375" customWidth="1" collapsed="1"/>
    <col min="17" max="20" width="9.7109375" hidden="1" customWidth="1" outlineLevel="1"/>
    <col min="21" max="21" width="9.7109375" customWidth="1" collapsed="1"/>
    <col min="22" max="25" width="9.7109375" hidden="1" customWidth="1" outlineLevel="1"/>
    <col min="26" max="26" width="9.7109375" customWidth="1" collapsed="1"/>
    <col min="27" max="30" width="9.7109375" hidden="1" customWidth="1" outlineLevel="1"/>
    <col min="31" max="31" width="9.7109375" customWidth="1" collapsed="1"/>
    <col min="32" max="35" width="9.7109375" hidden="1" customWidth="1" outlineLevel="1"/>
    <col min="36" max="36" width="9.7109375" customWidth="1" collapsed="1"/>
    <col min="37" max="40" width="9.7109375" hidden="1" customWidth="1" outlineLevel="1"/>
    <col min="41" max="41" width="9.7109375" customWidth="1" collapsed="1"/>
    <col min="42" max="45" width="9.7109375" hidden="1" customWidth="1" outlineLevel="1"/>
    <col min="46" max="46" width="9.7109375" customWidth="1" collapsed="1"/>
    <col min="47" max="50" width="9.7109375" customWidth="1" outlineLevel="1"/>
    <col min="51" max="51" width="9.7109375"/>
    <col min="52" max="55" width="9.7109375" hidden="1" customWidth="1" outlineLevel="1" collapsed="1"/>
    <col min="56" max="56" width="9.7109375" customWidth="1" collapsed="1"/>
    <col min="57" max="59" width="9.7109375" customWidth="1"/>
    <col min="60" max="60" width="9.140625" customWidth="1"/>
    <col min="61" max="61" width="9.140625" style="14" customWidth="1"/>
    <col min="62" max="16384" width="9.140625" style="14"/>
  </cols>
  <sheetData>
    <row r="1" spans="1:60" customFormat="1" ht="28.5" x14ac:dyDescent="0.45">
      <c r="A1" s="237" t="str">
        <f>MO.CompanyName</f>
        <v>Netflix, Inc.</v>
      </c>
      <c r="B1" s="841"/>
      <c r="C1" s="607">
        <f t="shared" ref="C1:AH1" si="0">INDEX(MO_Common_QEndDate,0,COLUMN())</f>
        <v>40178</v>
      </c>
      <c r="D1" s="609">
        <f t="shared" si="0"/>
        <v>40543</v>
      </c>
      <c r="E1" s="609">
        <f t="shared" si="0"/>
        <v>40908</v>
      </c>
      <c r="F1" s="609">
        <f t="shared" si="0"/>
        <v>41274</v>
      </c>
      <c r="G1" s="191">
        <f t="shared" si="0"/>
        <v>41364</v>
      </c>
      <c r="H1" s="191">
        <f t="shared" si="0"/>
        <v>41455</v>
      </c>
      <c r="I1" s="191">
        <f t="shared" si="0"/>
        <v>41547</v>
      </c>
      <c r="J1" s="191">
        <f t="shared" si="0"/>
        <v>41639</v>
      </c>
      <c r="K1" s="609">
        <f t="shared" si="0"/>
        <v>41639</v>
      </c>
      <c r="L1" s="191">
        <f t="shared" si="0"/>
        <v>41729</v>
      </c>
      <c r="M1" s="191">
        <f t="shared" si="0"/>
        <v>41820</v>
      </c>
      <c r="N1" s="191">
        <f t="shared" si="0"/>
        <v>41912</v>
      </c>
      <c r="O1" s="191">
        <f t="shared" si="0"/>
        <v>42004</v>
      </c>
      <c r="P1" s="609">
        <f t="shared" si="0"/>
        <v>42004</v>
      </c>
      <c r="Q1" s="191">
        <f t="shared" si="0"/>
        <v>42094</v>
      </c>
      <c r="R1" s="191">
        <f t="shared" si="0"/>
        <v>42185</v>
      </c>
      <c r="S1" s="191">
        <f t="shared" si="0"/>
        <v>42277</v>
      </c>
      <c r="T1" s="191">
        <f t="shared" si="0"/>
        <v>42369</v>
      </c>
      <c r="U1" s="609">
        <f t="shared" si="0"/>
        <v>42369</v>
      </c>
      <c r="V1" s="191">
        <f t="shared" si="0"/>
        <v>42460</v>
      </c>
      <c r="W1" s="191">
        <f t="shared" si="0"/>
        <v>42551</v>
      </c>
      <c r="X1" s="191">
        <f t="shared" si="0"/>
        <v>42643</v>
      </c>
      <c r="Y1" s="191">
        <f t="shared" si="0"/>
        <v>42735</v>
      </c>
      <c r="Z1" s="609">
        <f t="shared" si="0"/>
        <v>42735</v>
      </c>
      <c r="AA1" s="191">
        <f t="shared" si="0"/>
        <v>42825</v>
      </c>
      <c r="AB1" s="191">
        <f t="shared" si="0"/>
        <v>42916</v>
      </c>
      <c r="AC1" s="191">
        <f t="shared" si="0"/>
        <v>43008</v>
      </c>
      <c r="AD1" s="191">
        <f t="shared" si="0"/>
        <v>43100</v>
      </c>
      <c r="AE1" s="609">
        <f t="shared" si="0"/>
        <v>43100</v>
      </c>
      <c r="AF1" s="191">
        <f t="shared" si="0"/>
        <v>43190</v>
      </c>
      <c r="AG1" s="191">
        <f t="shared" si="0"/>
        <v>43281</v>
      </c>
      <c r="AH1" s="191">
        <f t="shared" si="0"/>
        <v>43373</v>
      </c>
      <c r="AI1" s="191">
        <f t="shared" ref="AI1:AY1" si="1">INDEX(MO_Common_QEndDate,0,COLUMN())</f>
        <v>43465</v>
      </c>
      <c r="AJ1" s="609">
        <f t="shared" si="1"/>
        <v>43465</v>
      </c>
      <c r="AK1" s="191">
        <f t="shared" si="1"/>
        <v>43555</v>
      </c>
      <c r="AL1" s="191">
        <f t="shared" si="1"/>
        <v>43646</v>
      </c>
      <c r="AM1" s="191">
        <f t="shared" si="1"/>
        <v>43738</v>
      </c>
      <c r="AN1" s="191">
        <f t="shared" si="1"/>
        <v>43830</v>
      </c>
      <c r="AO1" s="609">
        <f t="shared" si="1"/>
        <v>43830</v>
      </c>
      <c r="AP1" s="191">
        <f t="shared" si="1"/>
        <v>43921</v>
      </c>
      <c r="AQ1" s="191">
        <f t="shared" si="1"/>
        <v>44012</v>
      </c>
      <c r="AR1" s="191">
        <f>INDEX(MO_Common_QEndDate,0,COLUMN())</f>
        <v>44104</v>
      </c>
      <c r="AS1" s="191">
        <f>INDEX(MO_Common_QEndDate,0,COLUMN())</f>
        <v>44196</v>
      </c>
      <c r="AT1" s="609">
        <f>INDEX(MO_Common_QEndDate,0,COLUMN())</f>
        <v>44196</v>
      </c>
      <c r="AU1" s="191">
        <f t="shared" si="1"/>
        <v>44286</v>
      </c>
      <c r="AV1" s="191">
        <f>INDEX(MO_Common_QEndDate,0,COLUMN())</f>
        <v>44377</v>
      </c>
      <c r="AW1" s="611">
        <f>INDEX(MO_Common_QEndDate,0,COLUMN())</f>
        <v>44469</v>
      </c>
      <c r="AX1" s="191">
        <f t="shared" si="1"/>
        <v>44561</v>
      </c>
      <c r="AY1" s="609">
        <f t="shared" si="1"/>
        <v>44561</v>
      </c>
      <c r="AZ1" s="191">
        <f t="shared" ref="AZ1:BG1" si="2">INDEX(MO_Common_QEndDate,0,COLUMN())</f>
        <v>44651</v>
      </c>
      <c r="BA1" s="191">
        <f t="shared" si="2"/>
        <v>44742</v>
      </c>
      <c r="BB1" s="191">
        <f t="shared" si="2"/>
        <v>44834</v>
      </c>
      <c r="BC1" s="191">
        <f t="shared" si="2"/>
        <v>44926</v>
      </c>
      <c r="BD1" s="609">
        <f t="shared" si="2"/>
        <v>44926</v>
      </c>
      <c r="BE1" s="609">
        <f t="shared" si="2"/>
        <v>45291</v>
      </c>
      <c r="BF1" s="609">
        <f t="shared" si="2"/>
        <v>45657</v>
      </c>
      <c r="BG1" s="609">
        <f t="shared" si="2"/>
        <v>46022</v>
      </c>
      <c r="BH1" s="239"/>
    </row>
    <row r="2" spans="1:60" customFormat="1" x14ac:dyDescent="0.25">
      <c r="A2" s="247" t="s">
        <v>330</v>
      </c>
      <c r="B2" s="248" t="str">
        <f>MO.ReportFX</f>
        <v>USD</v>
      </c>
      <c r="C2" s="608" t="str">
        <f t="shared" ref="C2:AH2" si="3">INDEX(MO_Common_ColumnHeader,0,COLUMN())</f>
        <v>FY2009</v>
      </c>
      <c r="D2" s="610" t="str">
        <f t="shared" si="3"/>
        <v>FY2010</v>
      </c>
      <c r="E2" s="610" t="str">
        <f t="shared" si="3"/>
        <v>FY2011</v>
      </c>
      <c r="F2" s="610" t="str">
        <f t="shared" si="3"/>
        <v>FY2012</v>
      </c>
      <c r="G2" s="118" t="str">
        <f t="shared" si="3"/>
        <v>Q1-2013</v>
      </c>
      <c r="H2" s="118" t="str">
        <f t="shared" si="3"/>
        <v>Q2-2013</v>
      </c>
      <c r="I2" s="118" t="str">
        <f t="shared" si="3"/>
        <v>Q3-2013</v>
      </c>
      <c r="J2" s="118" t="str">
        <f t="shared" si="3"/>
        <v>Q4-2013</v>
      </c>
      <c r="K2" s="610" t="str">
        <f t="shared" si="3"/>
        <v>FY2013</v>
      </c>
      <c r="L2" s="118" t="str">
        <f t="shared" si="3"/>
        <v>Q1-2014</v>
      </c>
      <c r="M2" s="118" t="str">
        <f t="shared" si="3"/>
        <v>Q2-2014</v>
      </c>
      <c r="N2" s="118" t="str">
        <f t="shared" si="3"/>
        <v>Q3-2014</v>
      </c>
      <c r="O2" s="118" t="str">
        <f t="shared" si="3"/>
        <v>Q4-2014</v>
      </c>
      <c r="P2" s="610" t="str">
        <f t="shared" si="3"/>
        <v>FY2014</v>
      </c>
      <c r="Q2" s="118" t="str">
        <f t="shared" si="3"/>
        <v>Q1-2015</v>
      </c>
      <c r="R2" s="118" t="str">
        <f t="shared" si="3"/>
        <v>Q2-2015</v>
      </c>
      <c r="S2" s="118" t="str">
        <f t="shared" si="3"/>
        <v>Q3-2015</v>
      </c>
      <c r="T2" s="118" t="str">
        <f t="shared" si="3"/>
        <v>Q4-2015</v>
      </c>
      <c r="U2" s="610" t="str">
        <f t="shared" si="3"/>
        <v>FY2015</v>
      </c>
      <c r="V2" s="118" t="str">
        <f t="shared" si="3"/>
        <v>Q1-2016</v>
      </c>
      <c r="W2" s="118" t="str">
        <f t="shared" si="3"/>
        <v>Q2-2016</v>
      </c>
      <c r="X2" s="118" t="str">
        <f t="shared" si="3"/>
        <v>Q3-2016</v>
      </c>
      <c r="Y2" s="118" t="str">
        <f t="shared" si="3"/>
        <v>Q4-2016</v>
      </c>
      <c r="Z2" s="610" t="str">
        <f t="shared" si="3"/>
        <v>FY2016</v>
      </c>
      <c r="AA2" s="118" t="str">
        <f t="shared" si="3"/>
        <v>Q1-2017</v>
      </c>
      <c r="AB2" s="118" t="str">
        <f t="shared" si="3"/>
        <v>Q2-2017</v>
      </c>
      <c r="AC2" s="118" t="str">
        <f t="shared" si="3"/>
        <v>Q3-2017</v>
      </c>
      <c r="AD2" s="118" t="str">
        <f t="shared" si="3"/>
        <v>Q4-2017</v>
      </c>
      <c r="AE2" s="610" t="str">
        <f t="shared" si="3"/>
        <v>FY2017</v>
      </c>
      <c r="AF2" s="118" t="str">
        <f t="shared" si="3"/>
        <v>Q1-2018</v>
      </c>
      <c r="AG2" s="118" t="str">
        <f t="shared" si="3"/>
        <v>Q2-2018</v>
      </c>
      <c r="AH2" s="118" t="str">
        <f t="shared" si="3"/>
        <v>Q3-2018</v>
      </c>
      <c r="AI2" s="118" t="str">
        <f t="shared" ref="AI2:AY2" si="4">INDEX(MO_Common_ColumnHeader,0,COLUMN())</f>
        <v>Q4-2018</v>
      </c>
      <c r="AJ2" s="610" t="str">
        <f t="shared" si="4"/>
        <v>FY2018</v>
      </c>
      <c r="AK2" s="118" t="str">
        <f t="shared" si="4"/>
        <v>Q1-2019</v>
      </c>
      <c r="AL2" s="118" t="str">
        <f t="shared" si="4"/>
        <v>Q2-2019</v>
      </c>
      <c r="AM2" s="118" t="str">
        <f t="shared" si="4"/>
        <v>Q3-2019</v>
      </c>
      <c r="AN2" s="118" t="str">
        <f t="shared" si="4"/>
        <v>Q4-2019</v>
      </c>
      <c r="AO2" s="610" t="str">
        <f t="shared" si="4"/>
        <v>FY2019</v>
      </c>
      <c r="AP2" s="118" t="str">
        <f t="shared" si="4"/>
        <v>Q1-2020</v>
      </c>
      <c r="AQ2" s="118" t="str">
        <f t="shared" si="4"/>
        <v>Q2-2020</v>
      </c>
      <c r="AR2" s="118" t="str">
        <f>INDEX(MO_Common_ColumnHeader,0,COLUMN())</f>
        <v>Q3-2020</v>
      </c>
      <c r="AS2" s="118" t="str">
        <f>INDEX(MO_Common_ColumnHeader,0,COLUMN())</f>
        <v>Q4-2020</v>
      </c>
      <c r="AT2" s="610" t="str">
        <f>INDEX(MO_Common_ColumnHeader,0,COLUMN())</f>
        <v>FY2020</v>
      </c>
      <c r="AU2" s="118" t="str">
        <f t="shared" si="4"/>
        <v>Q1-2021</v>
      </c>
      <c r="AV2" s="118" t="str">
        <f>INDEX(MO_Common_ColumnHeader,0,COLUMN())</f>
        <v>Q2-2021</v>
      </c>
      <c r="AW2" s="612" t="str">
        <f>INDEX(MO_Common_ColumnHeader,0,COLUMN())</f>
        <v>Q3-2021</v>
      </c>
      <c r="AX2" s="118" t="str">
        <f t="shared" si="4"/>
        <v>Q4-2021</v>
      </c>
      <c r="AY2" s="610" t="str">
        <f t="shared" si="4"/>
        <v>FY2021</v>
      </c>
      <c r="AZ2" s="118" t="str">
        <f t="shared" ref="AZ2:BG2" si="5">INDEX(MO_Common_ColumnHeader,0,COLUMN())</f>
        <v>Q1-2022</v>
      </c>
      <c r="BA2" s="118" t="str">
        <f t="shared" si="5"/>
        <v>Q2-2022</v>
      </c>
      <c r="BB2" s="118" t="str">
        <f t="shared" si="5"/>
        <v>Q3-2022</v>
      </c>
      <c r="BC2" s="118" t="str">
        <f t="shared" si="5"/>
        <v>Q4-2022</v>
      </c>
      <c r="BD2" s="610" t="str">
        <f t="shared" si="5"/>
        <v>FY2022</v>
      </c>
      <c r="BE2" s="610" t="str">
        <f t="shared" si="5"/>
        <v>FY2023</v>
      </c>
      <c r="BF2" s="610" t="str">
        <f t="shared" si="5"/>
        <v>FY2024</v>
      </c>
      <c r="BG2" s="610" t="str">
        <f t="shared" si="5"/>
        <v>FY2025</v>
      </c>
      <c r="BH2" s="841"/>
    </row>
    <row r="3" spans="1:60" customFormat="1" x14ac:dyDescent="0.25">
      <c r="A3" s="155" t="s">
        <v>331</v>
      </c>
      <c r="B3" s="155"/>
      <c r="C3" s="155"/>
      <c r="D3" s="155"/>
      <c r="E3" s="155"/>
      <c r="F3" s="155"/>
      <c r="G3" s="155"/>
      <c r="H3" s="155"/>
      <c r="I3" s="155"/>
      <c r="J3" s="155"/>
      <c r="K3" s="155"/>
      <c r="L3" s="155"/>
      <c r="M3" s="155"/>
      <c r="N3" s="155"/>
      <c r="O3" s="155"/>
      <c r="P3" s="155"/>
      <c r="Q3" s="155"/>
      <c r="R3" s="155"/>
      <c r="S3" s="155"/>
      <c r="T3" s="155"/>
      <c r="U3" s="155"/>
      <c r="V3" s="155"/>
      <c r="W3" s="155"/>
      <c r="X3" s="155"/>
      <c r="Y3" s="155"/>
      <c r="Z3" s="155"/>
      <c r="AA3" s="155"/>
      <c r="AB3" s="155"/>
      <c r="AC3" s="155"/>
      <c r="AD3" s="155"/>
      <c r="AE3" s="155"/>
      <c r="AF3" s="155"/>
      <c r="AG3" s="155"/>
      <c r="AH3" s="155"/>
      <c r="AI3" s="155"/>
      <c r="AJ3" s="155"/>
      <c r="AK3" s="155"/>
      <c r="AL3" s="155"/>
      <c r="AM3" s="155"/>
      <c r="AN3" s="155"/>
      <c r="AO3" s="155"/>
      <c r="AP3" s="155"/>
      <c r="AQ3" s="155"/>
      <c r="AR3" s="155"/>
      <c r="AS3" s="155"/>
      <c r="AT3" s="155"/>
      <c r="AU3" s="155"/>
      <c r="AV3" s="155"/>
      <c r="AW3" s="613"/>
      <c r="AX3" s="155"/>
      <c r="AY3" s="155"/>
      <c r="AZ3" s="155"/>
      <c r="BA3" s="155"/>
      <c r="BB3" s="155"/>
      <c r="BC3" s="155"/>
      <c r="BD3" s="155"/>
      <c r="BE3" s="155"/>
      <c r="BF3" s="155"/>
      <c r="BG3" s="155"/>
      <c r="BH3" s="239"/>
    </row>
    <row r="4" spans="1:60" customFormat="1" x14ac:dyDescent="0.25">
      <c r="A4" s="443" t="str">
        <f>"Stock Price - "&amp;SP.ValuationToggle</f>
        <v>Stock Price - Avg</v>
      </c>
      <c r="B4" s="444" t="s">
        <v>129</v>
      </c>
      <c r="C4" s="445">
        <f t="shared" ref="C4:AH4" ca="1" si="6">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6.2816071428571396</v>
      </c>
      <c r="D4" s="445">
        <f t="shared" ca="1" si="6"/>
        <v>17.001249999999999</v>
      </c>
      <c r="E4" s="445">
        <f t="shared" ca="1" si="6"/>
        <v>3.8940051020408202</v>
      </c>
      <c r="F4" s="445">
        <f t="shared" ca="1" si="6"/>
        <v>11.9760714285714</v>
      </c>
      <c r="G4" s="446">
        <f t="shared" ca="1" si="6"/>
        <v>20.593571428571401</v>
      </c>
      <c r="H4" s="446">
        <f t="shared" ca="1" si="6"/>
        <v>29.132142857142899</v>
      </c>
      <c r="I4" s="446">
        <f t="shared" ca="1" si="6"/>
        <v>38.027857142857101</v>
      </c>
      <c r="J4" s="446">
        <f t="shared" ca="1" si="6"/>
        <v>47.997142857142897</v>
      </c>
      <c r="K4" s="445">
        <f t="shared" ca="1" si="6"/>
        <v>33.937678571428599</v>
      </c>
      <c r="L4" s="446">
        <f t="shared" ca="1" si="6"/>
        <v>55.505000000000003</v>
      </c>
      <c r="M4" s="446">
        <f t="shared" ca="1" si="6"/>
        <v>53.594999999999999</v>
      </c>
      <c r="N4" s="446">
        <f t="shared" ca="1" si="6"/>
        <v>64.415000000000006</v>
      </c>
      <c r="O4" s="446">
        <f t="shared" ca="1" si="6"/>
        <v>55.97</v>
      </c>
      <c r="P4" s="445">
        <f t="shared" ca="1" si="6"/>
        <v>57.371250000000003</v>
      </c>
      <c r="Q4" s="446">
        <f t="shared" ca="1" si="6"/>
        <v>57.38</v>
      </c>
      <c r="R4" s="446">
        <f t="shared" ca="1" si="6"/>
        <v>79.674999999999997</v>
      </c>
      <c r="S4" s="446">
        <f t="shared" ca="1" si="6"/>
        <v>107.395</v>
      </c>
      <c r="T4" s="446">
        <f t="shared" ca="1" si="6"/>
        <v>114.765</v>
      </c>
      <c r="U4" s="445">
        <f t="shared" ca="1" si="6"/>
        <v>89.803749999999994</v>
      </c>
      <c r="V4" s="446">
        <f t="shared" ca="1" si="6"/>
        <v>101.065</v>
      </c>
      <c r="W4" s="446">
        <f t="shared" ca="1" si="6"/>
        <v>98.33</v>
      </c>
      <c r="X4" s="446">
        <f t="shared" ca="1" si="6"/>
        <v>92.885000000000005</v>
      </c>
      <c r="Y4" s="446">
        <f t="shared" ca="1" si="6"/>
        <v>113.46</v>
      </c>
      <c r="Z4" s="447">
        <f t="shared" ca="1" si="6"/>
        <v>101.435</v>
      </c>
      <c r="AA4" s="446">
        <f t="shared" ca="1" si="6"/>
        <v>136.30000000000001</v>
      </c>
      <c r="AB4" s="446">
        <f t="shared" ca="1" si="6"/>
        <v>152.76499999999999</v>
      </c>
      <c r="AC4" s="446">
        <f t="shared" ca="1" si="6"/>
        <v>167.875</v>
      </c>
      <c r="AD4" s="446">
        <f t="shared" ca="1" si="6"/>
        <v>190.48</v>
      </c>
      <c r="AE4" s="447">
        <f t="shared" ca="1" si="6"/>
        <v>161.85499999999999</v>
      </c>
      <c r="AF4" s="446">
        <f t="shared" ca="1" si="6"/>
        <v>272.21786885245899</v>
      </c>
      <c r="AG4" s="446">
        <f t="shared" ca="1" si="6"/>
        <v>340.89687500000002</v>
      </c>
      <c r="AH4" s="446">
        <f t="shared" ca="1" si="6"/>
        <v>362.95142857142901</v>
      </c>
      <c r="AI4" s="446">
        <f t="shared" ref="AI4:AY4" ca="1" si="7">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299.25769841269801</v>
      </c>
      <c r="AJ4" s="447">
        <f t="shared" ca="1" si="7"/>
        <v>319.290298804781</v>
      </c>
      <c r="AK4" s="446">
        <f t="shared" ca="1" si="7"/>
        <v>346.66885245901602</v>
      </c>
      <c r="AL4" s="446">
        <f t="shared" ca="1" si="7"/>
        <v>360.777777777778</v>
      </c>
      <c r="AM4" s="446">
        <f t="shared" ca="1" si="7"/>
        <v>312.88953125</v>
      </c>
      <c r="AN4" s="446">
        <f t="shared" ca="1" si="7"/>
        <v>296.48171875000003</v>
      </c>
      <c r="AO4" s="447">
        <f t="shared" ca="1" si="7"/>
        <v>328.87126984127002</v>
      </c>
      <c r="AP4" s="446">
        <f t="shared" ca="1" si="7"/>
        <v>353.77717741935498</v>
      </c>
      <c r="AQ4" s="446">
        <f t="shared" ca="1" si="7"/>
        <v>425.61777777777797</v>
      </c>
      <c r="AR4" s="446">
        <f ca="1">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497.6978125</v>
      </c>
      <c r="AS4" s="446">
        <f ca="1">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506.97687500000001</v>
      </c>
      <c r="AT4" s="447">
        <f ca="1">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446.82721343873601</v>
      </c>
      <c r="AU4" s="446">
        <f t="shared" ca="1" si="7"/>
        <v>530.43606557377097</v>
      </c>
      <c r="AV4" s="446">
        <f ca="1">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511.16333333333301</v>
      </c>
      <c r="AW4" s="614">
        <f ca="1">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550.33171875000005</v>
      </c>
      <c r="AX4" s="446">
        <f t="shared" ca="1" si="7"/>
        <v>553.29</v>
      </c>
      <c r="AY4" s="447">
        <f t="shared" ca="1" si="7"/>
        <v>553.29</v>
      </c>
      <c r="AZ4" s="446">
        <f t="shared" ref="AZ4:BG4" ca="1" si="8">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553.29</v>
      </c>
      <c r="BA4" s="446">
        <f t="shared" ca="1" si="8"/>
        <v>553.29</v>
      </c>
      <c r="BB4" s="446">
        <f t="shared" ca="1" si="8"/>
        <v>553.29</v>
      </c>
      <c r="BC4" s="446">
        <f t="shared" ca="1" si="8"/>
        <v>553.29</v>
      </c>
      <c r="BD4" s="447">
        <f t="shared" ca="1" si="8"/>
        <v>553.29</v>
      </c>
      <c r="BE4" s="447">
        <f t="shared" ca="1" si="8"/>
        <v>553.29</v>
      </c>
      <c r="BF4" s="447">
        <f t="shared" ca="1" si="8"/>
        <v>553.29</v>
      </c>
      <c r="BG4" s="447">
        <f t="shared" ca="1" si="8"/>
        <v>553.29</v>
      </c>
      <c r="BH4" s="120"/>
    </row>
    <row r="5" spans="1:60" customFormat="1" x14ac:dyDescent="0.25">
      <c r="A5" s="355" t="str">
        <f>INDEX(MO_RIS_ShareCount_WAD_Adj,0,COLUMN())</f>
        <v>Adjusted Shares Outstanding - WAD</v>
      </c>
      <c r="B5" s="356"/>
      <c r="C5" s="953">
        <f t="shared" ref="C5:AH5" si="9">INDEX(MO_RIS_ShareCount_WAD_Adj,0,COLUMN())</f>
        <v>408.91199999999998</v>
      </c>
      <c r="D5" s="953">
        <f t="shared" si="9"/>
        <v>380.12799999999999</v>
      </c>
      <c r="E5" s="953">
        <f t="shared" si="9"/>
        <v>380.58299999999997</v>
      </c>
      <c r="F5" s="953">
        <f t="shared" si="9"/>
        <v>412.32800000000003</v>
      </c>
      <c r="G5" s="954">
        <f t="shared" si="9"/>
        <v>421.02199999999999</v>
      </c>
      <c r="H5" s="954">
        <f t="shared" si="9"/>
        <v>424.13</v>
      </c>
      <c r="I5" s="954">
        <f t="shared" si="9"/>
        <v>426.93</v>
      </c>
      <c r="J5" s="954">
        <f t="shared" si="9"/>
        <v>429.12799999999999</v>
      </c>
      <c r="K5" s="953">
        <f t="shared" si="9"/>
        <v>425.327</v>
      </c>
      <c r="L5" s="954">
        <f t="shared" si="9"/>
        <v>430.83600000000001</v>
      </c>
      <c r="M5" s="954">
        <f t="shared" si="9"/>
        <v>431.44099999999997</v>
      </c>
      <c r="N5" s="954">
        <f t="shared" si="9"/>
        <v>432.74200000000002</v>
      </c>
      <c r="O5" s="954">
        <f t="shared" si="9"/>
        <v>432.51400000000001</v>
      </c>
      <c r="P5" s="953">
        <f t="shared" si="9"/>
        <v>431.89400000000001</v>
      </c>
      <c r="Q5" s="954">
        <f t="shared" si="9"/>
        <v>433.81099999999998</v>
      </c>
      <c r="R5" s="954">
        <f t="shared" si="9"/>
        <v>436.09699999999998</v>
      </c>
      <c r="S5" s="954">
        <f t="shared" si="9"/>
        <v>437.60599999999999</v>
      </c>
      <c r="T5" s="954">
        <f t="shared" si="9"/>
        <v>438.25700000000001</v>
      </c>
      <c r="U5" s="953">
        <f t="shared" si="9"/>
        <v>436.45600000000002</v>
      </c>
      <c r="V5" s="954">
        <f t="shared" si="9"/>
        <v>437.99299999999999</v>
      </c>
      <c r="W5" s="954">
        <f t="shared" si="9"/>
        <v>438.154</v>
      </c>
      <c r="X5" s="954">
        <f t="shared" si="9"/>
        <v>438.38900000000001</v>
      </c>
      <c r="Y5" s="954">
        <f t="shared" si="9"/>
        <v>440.06299999999999</v>
      </c>
      <c r="Z5" s="953">
        <f t="shared" si="9"/>
        <v>438.65199999999999</v>
      </c>
      <c r="AA5" s="954">
        <f t="shared" si="9"/>
        <v>445.45800000000003</v>
      </c>
      <c r="AB5" s="954">
        <f t="shared" si="9"/>
        <v>446.262</v>
      </c>
      <c r="AC5" s="954">
        <f t="shared" si="9"/>
        <v>447.36200000000002</v>
      </c>
      <c r="AD5" s="954">
        <f t="shared" si="9"/>
        <v>448.142</v>
      </c>
      <c r="AE5" s="953">
        <f t="shared" si="9"/>
        <v>446.81400000000002</v>
      </c>
      <c r="AF5" s="954">
        <f t="shared" si="9"/>
        <v>450.35899999999998</v>
      </c>
      <c r="AG5" s="954">
        <f t="shared" si="9"/>
        <v>451.55200000000002</v>
      </c>
      <c r="AH5" s="954">
        <f t="shared" si="9"/>
        <v>451.91899999999998</v>
      </c>
      <c r="AI5" s="954">
        <f t="shared" ref="AI5:AY5" si="10">INDEX(MO_RIS_ShareCount_WAD_Adj,0,COLUMN())</f>
        <v>451.11599999999999</v>
      </c>
      <c r="AJ5" s="953">
        <f t="shared" si="10"/>
        <v>451.24400000000003</v>
      </c>
      <c r="AK5" s="954">
        <f t="shared" si="10"/>
        <v>451.92200000000003</v>
      </c>
      <c r="AL5" s="954">
        <f t="shared" si="10"/>
        <v>452.19499999999999</v>
      </c>
      <c r="AM5" s="954">
        <f t="shared" si="10"/>
        <v>451.55200000000002</v>
      </c>
      <c r="AN5" s="954">
        <f t="shared" si="10"/>
        <v>451.36700000000002</v>
      </c>
      <c r="AO5" s="953">
        <f t="shared" si="10"/>
        <v>451.76499999999999</v>
      </c>
      <c r="AP5" s="954">
        <f t="shared" si="10"/>
        <v>452.49400000000003</v>
      </c>
      <c r="AQ5" s="954">
        <f t="shared" si="10"/>
        <v>453.94499999999999</v>
      </c>
      <c r="AR5" s="954">
        <f>INDEX(MO_RIS_ShareCount_WAD_Adj,0,COLUMN())</f>
        <v>455.08800000000002</v>
      </c>
      <c r="AS5" s="954">
        <f>INDEX(MO_RIS_ShareCount_WAD_Adj,0,COLUMN())</f>
        <v>455.28300000000002</v>
      </c>
      <c r="AT5" s="953">
        <f>INDEX(MO_RIS_ShareCount_WAD_Adj,0,COLUMN())</f>
        <v>454.20800000000003</v>
      </c>
      <c r="AU5" s="954">
        <f t="shared" si="10"/>
        <v>455.64100000000002</v>
      </c>
      <c r="AV5" s="954">
        <f>INDEX(MO_RIS_ShareCount_WAD_Adj,0,COLUMN())</f>
        <v>455.12900000000002</v>
      </c>
      <c r="AW5" s="955">
        <f>INDEX(MO_RIS_ShareCount_WAD_Adj,0,COLUMN())</f>
        <v>454.92500000000001</v>
      </c>
      <c r="AX5" s="954">
        <f t="shared" ca="1" si="10"/>
        <v>454.92500000000001</v>
      </c>
      <c r="AY5" s="953">
        <f t="shared" ca="1" si="10"/>
        <v>455.15499999999997</v>
      </c>
      <c r="AZ5" s="954">
        <f t="shared" ref="AZ5:BG5" ca="1" si="11">INDEX(MO_RIS_ShareCount_WAD_Adj,0,COLUMN())</f>
        <v>454.92500000000001</v>
      </c>
      <c r="BA5" s="954">
        <f t="shared" ca="1" si="11"/>
        <v>454.92500000000001</v>
      </c>
      <c r="BB5" s="954">
        <f t="shared" ca="1" si="11"/>
        <v>454.92500000000001</v>
      </c>
      <c r="BC5" s="954">
        <f t="shared" ca="1" si="11"/>
        <v>454.92500000000001</v>
      </c>
      <c r="BD5" s="953">
        <f t="shared" ca="1" si="11"/>
        <v>454.92500000000001</v>
      </c>
      <c r="BE5" s="953">
        <f t="shared" ca="1" si="11"/>
        <v>454.92500000000001</v>
      </c>
      <c r="BF5" s="953">
        <f t="shared" ca="1" si="11"/>
        <v>454.92500000000001</v>
      </c>
      <c r="BG5" s="953">
        <f t="shared" ca="1" si="11"/>
        <v>454.92500000000001</v>
      </c>
      <c r="BH5" s="841"/>
    </row>
    <row r="6" spans="1:60" s="376" customFormat="1" x14ac:dyDescent="0.25">
      <c r="A6" s="461" t="str">
        <f>"Market Cap - "&amp;SP.ValuationToggle</f>
        <v>Market Cap - Avg</v>
      </c>
      <c r="B6" s="388"/>
      <c r="C6" s="389">
        <f t="shared" ref="C6:AH6" ca="1" si="12">INDEX(SP_CS_StockPrice,0,COLUMN())*INDEX(SP_CS_ShareCount,0,COLUMN())</f>
        <v>2568.6245399999984</v>
      </c>
      <c r="D6" s="389">
        <f t="shared" ca="1" si="12"/>
        <v>6462.6511599999994</v>
      </c>
      <c r="E6" s="389">
        <f t="shared" ca="1" si="12"/>
        <v>1481.9921437500013</v>
      </c>
      <c r="F6" s="389">
        <f t="shared" ca="1" si="12"/>
        <v>4938.0695799999885</v>
      </c>
      <c r="G6" s="390">
        <f t="shared" ca="1" si="12"/>
        <v>8670.3466299999891</v>
      </c>
      <c r="H6" s="390">
        <f t="shared" ca="1" si="12"/>
        <v>12355.815750000018</v>
      </c>
      <c r="I6" s="390">
        <f t="shared" ca="1" si="12"/>
        <v>16235.233049999983</v>
      </c>
      <c r="J6" s="390">
        <f t="shared" ca="1" si="12"/>
        <v>20596.917920000018</v>
      </c>
      <c r="K6" s="389">
        <f t="shared" ca="1" si="12"/>
        <v>14434.611013750011</v>
      </c>
      <c r="L6" s="390">
        <f t="shared" ca="1" si="12"/>
        <v>23913.552180000002</v>
      </c>
      <c r="M6" s="390">
        <f t="shared" ca="1" si="12"/>
        <v>23123.080394999997</v>
      </c>
      <c r="N6" s="390">
        <f t="shared" ca="1" si="12"/>
        <v>27875.075930000003</v>
      </c>
      <c r="O6" s="390">
        <f t="shared" ca="1" si="12"/>
        <v>24207.808580000001</v>
      </c>
      <c r="P6" s="389">
        <f t="shared" ca="1" si="12"/>
        <v>24778.298647500003</v>
      </c>
      <c r="Q6" s="390">
        <f t="shared" ca="1" si="12"/>
        <v>24892.07518</v>
      </c>
      <c r="R6" s="390">
        <f t="shared" ca="1" si="12"/>
        <v>34746.028474999999</v>
      </c>
      <c r="S6" s="390">
        <f t="shared" ca="1" si="12"/>
        <v>46996.696369999998</v>
      </c>
      <c r="T6" s="390">
        <f t="shared" ca="1" si="12"/>
        <v>50296.564605</v>
      </c>
      <c r="U6" s="389">
        <f t="shared" ca="1" si="12"/>
        <v>39195.38551</v>
      </c>
      <c r="V6" s="390">
        <f t="shared" ca="1" si="12"/>
        <v>44265.762544999998</v>
      </c>
      <c r="W6" s="390">
        <f t="shared" ca="1" si="12"/>
        <v>43083.682820000002</v>
      </c>
      <c r="X6" s="390">
        <f t="shared" ca="1" si="12"/>
        <v>40719.762265000005</v>
      </c>
      <c r="Y6" s="390">
        <f t="shared" ca="1" si="12"/>
        <v>49929.547979999996</v>
      </c>
      <c r="Z6" s="389">
        <f t="shared" ca="1" si="12"/>
        <v>44494.66562</v>
      </c>
      <c r="AA6" s="390">
        <f t="shared" ca="1" si="12"/>
        <v>60715.925400000007</v>
      </c>
      <c r="AB6" s="390">
        <f t="shared" ca="1" si="12"/>
        <v>68173.214429999993</v>
      </c>
      <c r="AC6" s="390">
        <f t="shared" ca="1" si="12"/>
        <v>75100.895750000011</v>
      </c>
      <c r="AD6" s="390">
        <f t="shared" ca="1" si="12"/>
        <v>85362.088159999999</v>
      </c>
      <c r="AE6" s="389">
        <f t="shared" ca="1" si="12"/>
        <v>72319.079970000006</v>
      </c>
      <c r="AF6" s="390">
        <f t="shared" ca="1" si="12"/>
        <v>122595.76719852457</v>
      </c>
      <c r="AG6" s="390">
        <f t="shared" ca="1" si="12"/>
        <v>153932.66570000001</v>
      </c>
      <c r="AH6" s="390">
        <f t="shared" ca="1" si="12"/>
        <v>164024.64664857162</v>
      </c>
      <c r="AI6" s="390">
        <f t="shared" ref="AI6:AY6" ca="1" si="13">INDEX(SP_CS_StockPrice,0,COLUMN())*INDEX(SP_CS_ShareCount,0,COLUMN())</f>
        <v>134999.93587714268</v>
      </c>
      <c r="AJ6" s="389">
        <f t="shared" ca="1" si="13"/>
        <v>144077.8315938646</v>
      </c>
      <c r="AK6" s="390">
        <f t="shared" ca="1" si="13"/>
        <v>156667.28114098345</v>
      </c>
      <c r="AL6" s="390">
        <f t="shared" ca="1" si="13"/>
        <v>163141.90722222233</v>
      </c>
      <c r="AM6" s="390">
        <f t="shared" ca="1" si="13"/>
        <v>141285.89361500001</v>
      </c>
      <c r="AN6" s="390">
        <f t="shared" ca="1" si="13"/>
        <v>133822.06394703127</v>
      </c>
      <c r="AO6" s="389">
        <f t="shared" ca="1" si="13"/>
        <v>148572.52921984135</v>
      </c>
      <c r="AP6" s="390">
        <f t="shared" ca="1" si="13"/>
        <v>160082.05011919362</v>
      </c>
      <c r="AQ6" s="390">
        <f t="shared" ca="1" si="13"/>
        <v>193207.06213333341</v>
      </c>
      <c r="AR6" s="390">
        <f ca="1">INDEX(SP_CS_StockPrice,0,COLUMN())*INDEX(SP_CS_ShareCount,0,COLUMN())</f>
        <v>226496.30209500002</v>
      </c>
      <c r="AS6" s="390">
        <f ca="1">INDEX(SP_CS_StockPrice,0,COLUMN())*INDEX(SP_CS_ShareCount,0,COLUMN())</f>
        <v>230817.95258062502</v>
      </c>
      <c r="AT6" s="389">
        <f ca="1">INDEX(SP_CS_StockPrice,0,COLUMN())*INDEX(SP_CS_ShareCount,0,COLUMN())</f>
        <v>202952.49496158143</v>
      </c>
      <c r="AU6" s="390">
        <f t="shared" ca="1" si="13"/>
        <v>241688.41935409859</v>
      </c>
      <c r="AV6" s="390">
        <f ca="1">INDEX(SP_CS_StockPrice,0,COLUMN())*INDEX(SP_CS_ShareCount,0,COLUMN())</f>
        <v>232645.25673666652</v>
      </c>
      <c r="AW6" s="615">
        <f ca="1">INDEX(SP_CS_StockPrice,0,COLUMN())*INDEX(SP_CS_ShareCount,0,COLUMN())</f>
        <v>250359.65715234377</v>
      </c>
      <c r="AX6" s="390">
        <f t="shared" ca="1" si="13"/>
        <v>251705.45324999999</v>
      </c>
      <c r="AY6" s="389">
        <f t="shared" ca="1" si="13"/>
        <v>251832.70994999996</v>
      </c>
      <c r="AZ6" s="390">
        <f t="shared" ref="AZ6:BG6" ca="1" si="14">INDEX(SP_CS_StockPrice,0,COLUMN())*INDEX(SP_CS_ShareCount,0,COLUMN())</f>
        <v>251705.45324999999</v>
      </c>
      <c r="BA6" s="390">
        <f t="shared" ca="1" si="14"/>
        <v>251705.45324999999</v>
      </c>
      <c r="BB6" s="390">
        <f t="shared" ca="1" si="14"/>
        <v>251705.45324999999</v>
      </c>
      <c r="BC6" s="390">
        <f t="shared" ca="1" si="14"/>
        <v>251705.45324999999</v>
      </c>
      <c r="BD6" s="389">
        <f t="shared" ca="1" si="14"/>
        <v>251705.45324999999</v>
      </c>
      <c r="BE6" s="389">
        <f t="shared" ca="1" si="14"/>
        <v>251705.45324999999</v>
      </c>
      <c r="BF6" s="389">
        <f t="shared" ca="1" si="14"/>
        <v>251705.45324999999</v>
      </c>
      <c r="BG6" s="389">
        <f t="shared" ca="1" si="14"/>
        <v>251705.45324999999</v>
      </c>
      <c r="BH6" s="391"/>
    </row>
    <row r="7" spans="1:60" s="376" customFormat="1" x14ac:dyDescent="0.25">
      <c r="A7" s="462" t="str">
        <f>INDEX(MO_BSS_Cash,0,COLUMN())</f>
        <v>Cash</v>
      </c>
      <c r="B7" s="385"/>
      <c r="C7" s="386">
        <f t="shared" ref="C7:AH7" si="15">INDEX(MO_BSS_Cash,0,COLUMN())</f>
        <v>320.24199999999996</v>
      </c>
      <c r="D7" s="386">
        <f t="shared" si="15"/>
        <v>350.387</v>
      </c>
      <c r="E7" s="386">
        <f t="shared" si="15"/>
        <v>797.81099999999992</v>
      </c>
      <c r="F7" s="386">
        <f t="shared" si="15"/>
        <v>748.07799999999997</v>
      </c>
      <c r="G7" s="387">
        <f t="shared" si="15"/>
        <v>1025.8720000000001</v>
      </c>
      <c r="H7" s="387">
        <f t="shared" si="15"/>
        <v>1080.1100000000001</v>
      </c>
      <c r="I7" s="387">
        <f t="shared" si="15"/>
        <v>1134.9870000000001</v>
      </c>
      <c r="J7" s="387">
        <f t="shared" si="15"/>
        <v>1200.4050000000002</v>
      </c>
      <c r="K7" s="386">
        <f t="shared" si="15"/>
        <v>1200.4050000000002</v>
      </c>
      <c r="L7" s="387">
        <f t="shared" si="15"/>
        <v>1668.2429999999999</v>
      </c>
      <c r="M7" s="387">
        <f t="shared" si="15"/>
        <v>1714.3649999999998</v>
      </c>
      <c r="N7" s="387">
        <f t="shared" si="15"/>
        <v>1666.819</v>
      </c>
      <c r="O7" s="387">
        <f t="shared" si="15"/>
        <v>1608.4959999999999</v>
      </c>
      <c r="P7" s="386">
        <f t="shared" si="15"/>
        <v>1608.4959999999999</v>
      </c>
      <c r="Q7" s="387">
        <f t="shared" si="15"/>
        <v>2957.7080000000001</v>
      </c>
      <c r="R7" s="387">
        <f t="shared" si="15"/>
        <v>2796.7579999999998</v>
      </c>
      <c r="S7" s="387">
        <f t="shared" si="15"/>
        <v>2609.6419999999998</v>
      </c>
      <c r="T7" s="387">
        <f t="shared" si="15"/>
        <v>2310.7150000000001</v>
      </c>
      <c r="U7" s="386">
        <f t="shared" si="15"/>
        <v>2310.7150000000001</v>
      </c>
      <c r="V7" s="387">
        <f t="shared" si="15"/>
        <v>2072.471</v>
      </c>
      <c r="W7" s="387">
        <f t="shared" si="15"/>
        <v>1834.2280000000001</v>
      </c>
      <c r="X7" s="387">
        <f t="shared" si="15"/>
        <v>1343.2560000000001</v>
      </c>
      <c r="Y7" s="387">
        <f t="shared" si="15"/>
        <v>1733.7820000000002</v>
      </c>
      <c r="Z7" s="386">
        <f t="shared" si="15"/>
        <v>1733.7820000000002</v>
      </c>
      <c r="AA7" s="387">
        <f t="shared" si="15"/>
        <v>1341.229</v>
      </c>
      <c r="AB7" s="387">
        <f t="shared" si="15"/>
        <v>2164.902</v>
      </c>
      <c r="AC7" s="387">
        <f t="shared" si="15"/>
        <v>1746.4690000000001</v>
      </c>
      <c r="AD7" s="387">
        <f t="shared" si="15"/>
        <v>2827.1950000000002</v>
      </c>
      <c r="AE7" s="386">
        <f t="shared" si="15"/>
        <v>2827.1950000000002</v>
      </c>
      <c r="AF7" s="387">
        <f t="shared" si="15"/>
        <v>2599.4770000000003</v>
      </c>
      <c r="AG7" s="387">
        <f t="shared" si="15"/>
        <v>3913.9940000000001</v>
      </c>
      <c r="AH7" s="387">
        <f t="shared" si="15"/>
        <v>3078.5640000000003</v>
      </c>
      <c r="AI7" s="387">
        <f t="shared" ref="AI7:AY7" si="16">INDEX(MO_BSS_Cash,0,COLUMN())</f>
        <v>3812.0410000000002</v>
      </c>
      <c r="AJ7" s="386">
        <f t="shared" si="16"/>
        <v>3812.0410000000002</v>
      </c>
      <c r="AK7" s="387">
        <f t="shared" si="16"/>
        <v>3370.0969999999998</v>
      </c>
      <c r="AL7" s="387">
        <f t="shared" si="16"/>
        <v>5028.2049999999999</v>
      </c>
      <c r="AM7" s="387">
        <f t="shared" si="16"/>
        <v>4459.7210000000005</v>
      </c>
      <c r="AN7" s="387">
        <f t="shared" si="16"/>
        <v>5043.7860000000001</v>
      </c>
      <c r="AO7" s="386">
        <f t="shared" si="16"/>
        <v>5043.7860000000001</v>
      </c>
      <c r="AP7" s="387">
        <f t="shared" si="16"/>
        <v>5178.1869999999999</v>
      </c>
      <c r="AQ7" s="387">
        <f t="shared" si="16"/>
        <v>7180.0459999999994</v>
      </c>
      <c r="AR7" s="387">
        <f>INDEX(MO_BSS_Cash,0,COLUMN())</f>
        <v>8422.2800000000007</v>
      </c>
      <c r="AS7" s="387">
        <f>INDEX(MO_BSS_Cash,0,COLUMN())</f>
        <v>8238.869999999999</v>
      </c>
      <c r="AT7" s="386">
        <f>INDEX(MO_BSS_Cash,0,COLUMN())</f>
        <v>8238.869999999999</v>
      </c>
      <c r="AU7" s="387">
        <f t="shared" si="16"/>
        <v>8436.4529999999995</v>
      </c>
      <c r="AV7" s="387">
        <f>INDEX(MO_BSS_Cash,0,COLUMN())</f>
        <v>7804.6180000000004</v>
      </c>
      <c r="AW7" s="616">
        <f>INDEX(MO_BSS_Cash,0,COLUMN())</f>
        <v>7552.9679999999989</v>
      </c>
      <c r="AX7" s="387">
        <f t="shared" ca="1" si="16"/>
        <v>7944.4009903092674</v>
      </c>
      <c r="AY7" s="386">
        <f t="shared" ca="1" si="16"/>
        <v>7944.4009903092674</v>
      </c>
      <c r="AZ7" s="387">
        <f t="shared" ref="AZ7:BG7" ca="1" si="17">INDEX(MO_BSS_Cash,0,COLUMN())</f>
        <v>8871.7557268356668</v>
      </c>
      <c r="BA7" s="387">
        <f t="shared" ca="1" si="17"/>
        <v>9736.4201636530652</v>
      </c>
      <c r="BB7" s="387">
        <f t="shared" ca="1" si="17"/>
        <v>11192.560671020596</v>
      </c>
      <c r="BC7" s="387">
        <f t="shared" ca="1" si="17"/>
        <v>12191.655014890279</v>
      </c>
      <c r="BD7" s="386">
        <f t="shared" ca="1" si="17"/>
        <v>12191.655014890279</v>
      </c>
      <c r="BE7" s="386">
        <f t="shared" ca="1" si="17"/>
        <v>18886.329310787161</v>
      </c>
      <c r="BF7" s="386">
        <f t="shared" ca="1" si="17"/>
        <v>28625.186497435217</v>
      </c>
      <c r="BG7" s="386">
        <f t="shared" ca="1" si="17"/>
        <v>41767.663457707626</v>
      </c>
      <c r="BH7" s="387"/>
    </row>
    <row r="8" spans="1:60" s="376" customFormat="1" x14ac:dyDescent="0.25">
      <c r="A8" s="462" t="str">
        <f>INDEX(MO_BSS_Debt,0,COLUMN())</f>
        <v>Debt</v>
      </c>
      <c r="B8" s="385"/>
      <c r="C8" s="386">
        <f t="shared" ref="C8:AH8" si="18">INDEX(MO_BSS_Debt,0,COLUMN())</f>
        <v>237.982</v>
      </c>
      <c r="D8" s="386">
        <f t="shared" si="18"/>
        <v>200</v>
      </c>
      <c r="E8" s="386">
        <f t="shared" si="18"/>
        <v>400</v>
      </c>
      <c r="F8" s="386">
        <f t="shared" si="18"/>
        <v>400</v>
      </c>
      <c r="G8" s="387">
        <f t="shared" si="18"/>
        <v>700</v>
      </c>
      <c r="H8" s="387">
        <f t="shared" si="18"/>
        <v>500</v>
      </c>
      <c r="I8" s="387">
        <f t="shared" si="18"/>
        <v>500</v>
      </c>
      <c r="J8" s="387">
        <f t="shared" si="18"/>
        <v>500</v>
      </c>
      <c r="K8" s="386">
        <f t="shared" si="18"/>
        <v>500</v>
      </c>
      <c r="L8" s="387">
        <f t="shared" si="18"/>
        <v>900</v>
      </c>
      <c r="M8" s="387">
        <f t="shared" si="18"/>
        <v>900</v>
      </c>
      <c r="N8" s="387">
        <f t="shared" si="18"/>
        <v>900</v>
      </c>
      <c r="O8" s="387">
        <f t="shared" si="18"/>
        <v>900</v>
      </c>
      <c r="P8" s="386">
        <f t="shared" si="18"/>
        <v>900</v>
      </c>
      <c r="Q8" s="387">
        <f t="shared" si="18"/>
        <v>2400</v>
      </c>
      <c r="R8" s="387">
        <f t="shared" si="18"/>
        <v>2400</v>
      </c>
      <c r="S8" s="387">
        <f t="shared" si="18"/>
        <v>2400</v>
      </c>
      <c r="T8" s="387">
        <f t="shared" si="18"/>
        <v>2371.3620000000001</v>
      </c>
      <c r="U8" s="386">
        <f t="shared" si="18"/>
        <v>2371.3620000000001</v>
      </c>
      <c r="V8" s="387">
        <f t="shared" si="18"/>
        <v>2372.2179999999998</v>
      </c>
      <c r="W8" s="387">
        <f t="shared" si="18"/>
        <v>2373.085</v>
      </c>
      <c r="X8" s="387">
        <f t="shared" si="18"/>
        <v>2373.9659999999999</v>
      </c>
      <c r="Y8" s="387">
        <f t="shared" si="18"/>
        <v>3364.3110000000001</v>
      </c>
      <c r="Z8" s="386">
        <f t="shared" si="18"/>
        <v>3364.3110000000001</v>
      </c>
      <c r="AA8" s="387">
        <f t="shared" si="18"/>
        <v>3365.431</v>
      </c>
      <c r="AB8" s="387">
        <f t="shared" si="18"/>
        <v>4836.5020000000004</v>
      </c>
      <c r="AC8" s="387">
        <f t="shared" si="18"/>
        <v>4888.7830000000004</v>
      </c>
      <c r="AD8" s="387">
        <f t="shared" si="18"/>
        <v>6499.4319999999998</v>
      </c>
      <c r="AE8" s="386">
        <f t="shared" si="18"/>
        <v>6499.4319999999998</v>
      </c>
      <c r="AF8" s="387">
        <f t="shared" si="18"/>
        <v>6542.3729999999996</v>
      </c>
      <c r="AG8" s="387">
        <f t="shared" si="18"/>
        <v>8342.0669999999991</v>
      </c>
      <c r="AH8" s="387">
        <f t="shared" si="18"/>
        <v>8336.5859999999993</v>
      </c>
      <c r="AI8" s="387">
        <f t="shared" ref="AI8:AY8" si="19">INDEX(MO_BSS_Debt,0,COLUMN())</f>
        <v>10360.058000000001</v>
      </c>
      <c r="AJ8" s="386">
        <f t="shared" si="19"/>
        <v>10360.058000000001</v>
      </c>
      <c r="AK8" s="387">
        <f t="shared" si="19"/>
        <v>10305.022999999999</v>
      </c>
      <c r="AL8" s="387">
        <f t="shared" si="19"/>
        <v>12594.135</v>
      </c>
      <c r="AM8" s="387">
        <f t="shared" si="19"/>
        <v>12425.745999999999</v>
      </c>
      <c r="AN8" s="387">
        <f t="shared" si="19"/>
        <v>14759.26</v>
      </c>
      <c r="AO8" s="386">
        <f t="shared" si="19"/>
        <v>14759.26</v>
      </c>
      <c r="AP8" s="387">
        <f t="shared" si="19"/>
        <v>14669.500999999998</v>
      </c>
      <c r="AQ8" s="387">
        <f t="shared" si="19"/>
        <v>15794.159</v>
      </c>
      <c r="AR8" s="387">
        <f>INDEX(MO_BSS_Debt,0,COLUMN())</f>
        <v>16047.133</v>
      </c>
      <c r="AS8" s="387">
        <f>INDEX(MO_BSS_Debt,0,COLUMN())</f>
        <v>16308.973</v>
      </c>
      <c r="AT8" s="386">
        <f>INDEX(MO_BSS_Debt,0,COLUMN())</f>
        <v>16308.973</v>
      </c>
      <c r="AU8" s="387">
        <f t="shared" si="19"/>
        <v>15559.34</v>
      </c>
      <c r="AV8" s="387">
        <f>INDEX(MO_BSS_Debt,0,COLUMN())</f>
        <v>15626.017</v>
      </c>
      <c r="AW8" s="616">
        <f>INDEX(MO_BSS_Debt,0,COLUMN())</f>
        <v>15493.164000000001</v>
      </c>
      <c r="AX8" s="387">
        <f t="shared" si="19"/>
        <v>15493.164000000001</v>
      </c>
      <c r="AY8" s="386">
        <f t="shared" si="19"/>
        <v>15493.164000000001</v>
      </c>
      <c r="AZ8" s="387">
        <f t="shared" ref="AZ8:BG8" si="20">INDEX(MO_BSS_Debt,0,COLUMN())</f>
        <v>15493.164000000001</v>
      </c>
      <c r="BA8" s="387">
        <f t="shared" si="20"/>
        <v>15493.164000000001</v>
      </c>
      <c r="BB8" s="387">
        <f t="shared" si="20"/>
        <v>15493.164000000001</v>
      </c>
      <c r="BC8" s="387">
        <f t="shared" si="20"/>
        <v>15493.164000000001</v>
      </c>
      <c r="BD8" s="386">
        <f t="shared" si="20"/>
        <v>15493.164000000001</v>
      </c>
      <c r="BE8" s="386">
        <f t="shared" si="20"/>
        <v>15493.164000000001</v>
      </c>
      <c r="BF8" s="386">
        <f t="shared" si="20"/>
        <v>15493.164000000001</v>
      </c>
      <c r="BG8" s="386">
        <f t="shared" si="20"/>
        <v>15493.164000000001</v>
      </c>
      <c r="BH8" s="387"/>
    </row>
    <row r="9" spans="1:60" s="376" customFormat="1" x14ac:dyDescent="0.25">
      <c r="A9" s="462" t="s">
        <v>434</v>
      </c>
      <c r="B9" s="385"/>
      <c r="C9" s="386">
        <f t="shared" ref="C9:AH9" si="21">INDEX(MO_BSS_OL,0,COLUMN())</f>
        <v>0</v>
      </c>
      <c r="D9" s="386">
        <f t="shared" si="21"/>
        <v>0</v>
      </c>
      <c r="E9" s="386">
        <f t="shared" si="21"/>
        <v>0</v>
      </c>
      <c r="F9" s="386">
        <f t="shared" si="21"/>
        <v>0</v>
      </c>
      <c r="G9" s="387">
        <f t="shared" si="21"/>
        <v>0</v>
      </c>
      <c r="H9" s="387">
        <f t="shared" si="21"/>
        <v>0</v>
      </c>
      <c r="I9" s="387">
        <f t="shared" si="21"/>
        <v>0</v>
      </c>
      <c r="J9" s="387">
        <f t="shared" si="21"/>
        <v>0</v>
      </c>
      <c r="K9" s="386">
        <f t="shared" si="21"/>
        <v>0</v>
      </c>
      <c r="L9" s="387">
        <f t="shared" si="21"/>
        <v>0</v>
      </c>
      <c r="M9" s="387">
        <f t="shared" si="21"/>
        <v>0</v>
      </c>
      <c r="N9" s="387">
        <f t="shared" si="21"/>
        <v>0</v>
      </c>
      <c r="O9" s="387">
        <f t="shared" si="21"/>
        <v>0</v>
      </c>
      <c r="P9" s="386">
        <f t="shared" si="21"/>
        <v>0</v>
      </c>
      <c r="Q9" s="387">
        <f t="shared" si="21"/>
        <v>0</v>
      </c>
      <c r="R9" s="387">
        <f t="shared" si="21"/>
        <v>0</v>
      </c>
      <c r="S9" s="387">
        <f t="shared" si="21"/>
        <v>0</v>
      </c>
      <c r="T9" s="387">
        <f t="shared" si="21"/>
        <v>0</v>
      </c>
      <c r="U9" s="386">
        <f t="shared" si="21"/>
        <v>0</v>
      </c>
      <c r="V9" s="387">
        <f t="shared" si="21"/>
        <v>0</v>
      </c>
      <c r="W9" s="387">
        <f t="shared" si="21"/>
        <v>0</v>
      </c>
      <c r="X9" s="387">
        <f t="shared" si="21"/>
        <v>0</v>
      </c>
      <c r="Y9" s="387">
        <f t="shared" si="21"/>
        <v>0</v>
      </c>
      <c r="Z9" s="386">
        <f t="shared" si="21"/>
        <v>0</v>
      </c>
      <c r="AA9" s="387">
        <f t="shared" si="21"/>
        <v>0</v>
      </c>
      <c r="AB9" s="387">
        <f t="shared" si="21"/>
        <v>0</v>
      </c>
      <c r="AC9" s="387">
        <f t="shared" si="21"/>
        <v>0</v>
      </c>
      <c r="AD9" s="387">
        <f t="shared" si="21"/>
        <v>0</v>
      </c>
      <c r="AE9" s="386">
        <f t="shared" si="21"/>
        <v>0</v>
      </c>
      <c r="AF9" s="387">
        <f t="shared" si="21"/>
        <v>0</v>
      </c>
      <c r="AG9" s="387">
        <f t="shared" si="21"/>
        <v>0</v>
      </c>
      <c r="AH9" s="387">
        <f t="shared" si="21"/>
        <v>0</v>
      </c>
      <c r="AI9" s="387">
        <f t="shared" ref="AI9:AY9" si="22">INDEX(MO_BSS_OL,0,COLUMN())</f>
        <v>0</v>
      </c>
      <c r="AJ9" s="386">
        <f t="shared" si="22"/>
        <v>0</v>
      </c>
      <c r="AK9" s="387">
        <f t="shared" si="22"/>
        <v>887.52200000000005</v>
      </c>
      <c r="AL9" s="387">
        <f t="shared" si="22"/>
        <v>1083.942</v>
      </c>
      <c r="AM9" s="387">
        <f t="shared" si="22"/>
        <v>1113.6189999999999</v>
      </c>
      <c r="AN9" s="387">
        <f t="shared" si="22"/>
        <v>1613.2340000000002</v>
      </c>
      <c r="AO9" s="386">
        <f t="shared" si="22"/>
        <v>1613.2340000000002</v>
      </c>
      <c r="AP9" s="387">
        <f t="shared" si="22"/>
        <v>1596</v>
      </c>
      <c r="AQ9" s="387">
        <f t="shared" si="22"/>
        <v>1914</v>
      </c>
      <c r="AR9" s="387">
        <f>INDEX(MO_BSS_OL,0,COLUMN())</f>
        <v>2090</v>
      </c>
      <c r="AS9" s="387">
        <f>INDEX(MO_BSS_OL,0,COLUMN())</f>
        <v>2201.8530000000001</v>
      </c>
      <c r="AT9" s="386">
        <f>INDEX(MO_BSS_OL,0,COLUMN())</f>
        <v>2201.8530000000001</v>
      </c>
      <c r="AU9" s="387">
        <f t="shared" si="22"/>
        <v>2179.9790000000003</v>
      </c>
      <c r="AV9" s="387">
        <f>INDEX(MO_BSS_OL,0,COLUMN())</f>
        <v>2317.107</v>
      </c>
      <c r="AW9" s="616">
        <f>INDEX(MO_BSS_OL,0,COLUMN())</f>
        <v>2513.444</v>
      </c>
      <c r="AX9" s="387">
        <f t="shared" si="22"/>
        <v>2513.444</v>
      </c>
      <c r="AY9" s="386">
        <f t="shared" si="22"/>
        <v>2513.444</v>
      </c>
      <c r="AZ9" s="387">
        <f t="shared" ref="AZ9:BG9" si="23">INDEX(MO_BSS_OL,0,COLUMN())</f>
        <v>2513.444</v>
      </c>
      <c r="BA9" s="387">
        <f t="shared" si="23"/>
        <v>2513.444</v>
      </c>
      <c r="BB9" s="387">
        <f t="shared" si="23"/>
        <v>2513.444</v>
      </c>
      <c r="BC9" s="387">
        <f t="shared" si="23"/>
        <v>2513.444</v>
      </c>
      <c r="BD9" s="386">
        <f t="shared" si="23"/>
        <v>2513.444</v>
      </c>
      <c r="BE9" s="386">
        <f t="shared" si="23"/>
        <v>2513.444</v>
      </c>
      <c r="BF9" s="386">
        <f t="shared" si="23"/>
        <v>2513.444</v>
      </c>
      <c r="BG9" s="386">
        <f t="shared" si="23"/>
        <v>2513.444</v>
      </c>
      <c r="BH9" s="387"/>
    </row>
    <row r="10" spans="1:60" s="376" customFormat="1" x14ac:dyDescent="0.25">
      <c r="A10" s="463" t="s">
        <v>133</v>
      </c>
      <c r="B10" s="464"/>
      <c r="C10" s="465">
        <f t="shared" ref="C10:AH10" si="24">INDEX(MO_VA_EVCalc_NCI,0,COLUMN())+INDEX(MO_VA_EVCalc_Prefs,0,COLUMN())+INDEX(MO_VA_EVCalc_Other,0,COLUMN())</f>
        <v>0</v>
      </c>
      <c r="D10" s="465">
        <f t="shared" si="24"/>
        <v>0</v>
      </c>
      <c r="E10" s="465">
        <f t="shared" si="24"/>
        <v>0</v>
      </c>
      <c r="F10" s="465">
        <f t="shared" si="24"/>
        <v>0</v>
      </c>
      <c r="G10" s="466">
        <f t="shared" si="24"/>
        <v>0</v>
      </c>
      <c r="H10" s="466">
        <f t="shared" si="24"/>
        <v>0</v>
      </c>
      <c r="I10" s="466">
        <f t="shared" si="24"/>
        <v>0</v>
      </c>
      <c r="J10" s="466">
        <f t="shared" si="24"/>
        <v>0</v>
      </c>
      <c r="K10" s="465">
        <f t="shared" si="24"/>
        <v>0</v>
      </c>
      <c r="L10" s="466">
        <f t="shared" si="24"/>
        <v>0</v>
      </c>
      <c r="M10" s="466">
        <f t="shared" si="24"/>
        <v>0</v>
      </c>
      <c r="N10" s="466">
        <f t="shared" si="24"/>
        <v>0</v>
      </c>
      <c r="O10" s="466">
        <f t="shared" si="24"/>
        <v>0</v>
      </c>
      <c r="P10" s="465">
        <f t="shared" si="24"/>
        <v>0</v>
      </c>
      <c r="Q10" s="466">
        <f t="shared" si="24"/>
        <v>0</v>
      </c>
      <c r="R10" s="466">
        <f t="shared" si="24"/>
        <v>0</v>
      </c>
      <c r="S10" s="466">
        <f t="shared" si="24"/>
        <v>0</v>
      </c>
      <c r="T10" s="466">
        <f t="shared" si="24"/>
        <v>0</v>
      </c>
      <c r="U10" s="465">
        <f t="shared" si="24"/>
        <v>0</v>
      </c>
      <c r="V10" s="466">
        <f t="shared" si="24"/>
        <v>0</v>
      </c>
      <c r="W10" s="466">
        <f t="shared" si="24"/>
        <v>0</v>
      </c>
      <c r="X10" s="466">
        <f t="shared" si="24"/>
        <v>0</v>
      </c>
      <c r="Y10" s="466">
        <f t="shared" si="24"/>
        <v>0</v>
      </c>
      <c r="Z10" s="465">
        <f t="shared" si="24"/>
        <v>0</v>
      </c>
      <c r="AA10" s="466">
        <f t="shared" si="24"/>
        <v>0</v>
      </c>
      <c r="AB10" s="466">
        <f t="shared" si="24"/>
        <v>0</v>
      </c>
      <c r="AC10" s="466">
        <f t="shared" si="24"/>
        <v>0</v>
      </c>
      <c r="AD10" s="466">
        <f t="shared" si="24"/>
        <v>0</v>
      </c>
      <c r="AE10" s="465">
        <f t="shared" si="24"/>
        <v>0</v>
      </c>
      <c r="AF10" s="466">
        <f t="shared" si="24"/>
        <v>0</v>
      </c>
      <c r="AG10" s="466">
        <f t="shared" si="24"/>
        <v>0</v>
      </c>
      <c r="AH10" s="466">
        <f t="shared" si="24"/>
        <v>0</v>
      </c>
      <c r="AI10" s="466">
        <f t="shared" ref="AI10:AY10" si="25">INDEX(MO_VA_EVCalc_NCI,0,COLUMN())+INDEX(MO_VA_EVCalc_Prefs,0,COLUMN())+INDEX(MO_VA_EVCalc_Other,0,COLUMN())</f>
        <v>0</v>
      </c>
      <c r="AJ10" s="465">
        <f t="shared" si="25"/>
        <v>0</v>
      </c>
      <c r="AK10" s="466">
        <f t="shared" si="25"/>
        <v>0</v>
      </c>
      <c r="AL10" s="466">
        <f t="shared" si="25"/>
        <v>0</v>
      </c>
      <c r="AM10" s="466">
        <f t="shared" si="25"/>
        <v>0</v>
      </c>
      <c r="AN10" s="466">
        <f t="shared" si="25"/>
        <v>0</v>
      </c>
      <c r="AO10" s="465">
        <f t="shared" si="25"/>
        <v>0</v>
      </c>
      <c r="AP10" s="466">
        <f t="shared" si="25"/>
        <v>0</v>
      </c>
      <c r="AQ10" s="466">
        <f t="shared" si="25"/>
        <v>0</v>
      </c>
      <c r="AR10" s="466">
        <f>INDEX(MO_VA_EVCalc_NCI,0,COLUMN())+INDEX(MO_VA_EVCalc_Prefs,0,COLUMN())+INDEX(MO_VA_EVCalc_Other,0,COLUMN())</f>
        <v>0</v>
      </c>
      <c r="AS10" s="466">
        <f>INDEX(MO_VA_EVCalc_NCI,0,COLUMN())+INDEX(MO_VA_EVCalc_Prefs,0,COLUMN())+INDEX(MO_VA_EVCalc_Other,0,COLUMN())</f>
        <v>0</v>
      </c>
      <c r="AT10" s="465">
        <f>INDEX(MO_VA_EVCalc_NCI,0,COLUMN())+INDEX(MO_VA_EVCalc_Prefs,0,COLUMN())+INDEX(MO_VA_EVCalc_Other,0,COLUMN())</f>
        <v>0</v>
      </c>
      <c r="AU10" s="466">
        <f t="shared" si="25"/>
        <v>0</v>
      </c>
      <c r="AV10" s="466">
        <f>INDEX(MO_VA_EVCalc_NCI,0,COLUMN())+INDEX(MO_VA_EVCalc_Prefs,0,COLUMN())+INDEX(MO_VA_EVCalc_Other,0,COLUMN())</f>
        <v>0</v>
      </c>
      <c r="AW10" s="617">
        <f>INDEX(MO_VA_EVCalc_NCI,0,COLUMN())+INDEX(MO_VA_EVCalc_Prefs,0,COLUMN())+INDEX(MO_VA_EVCalc_Other,0,COLUMN())</f>
        <v>0</v>
      </c>
      <c r="AX10" s="466">
        <f t="shared" si="25"/>
        <v>0</v>
      </c>
      <c r="AY10" s="465">
        <f t="shared" si="25"/>
        <v>0</v>
      </c>
      <c r="AZ10" s="466">
        <f t="shared" ref="AZ10:BG10" si="26">INDEX(MO_VA_EVCalc_NCI,0,COLUMN())+INDEX(MO_VA_EVCalc_Prefs,0,COLUMN())+INDEX(MO_VA_EVCalc_Other,0,COLUMN())</f>
        <v>0</v>
      </c>
      <c r="BA10" s="466">
        <f t="shared" si="26"/>
        <v>0</v>
      </c>
      <c r="BB10" s="466">
        <f t="shared" si="26"/>
        <v>0</v>
      </c>
      <c r="BC10" s="466">
        <f t="shared" si="26"/>
        <v>0</v>
      </c>
      <c r="BD10" s="465">
        <f t="shared" si="26"/>
        <v>0</v>
      </c>
      <c r="BE10" s="465">
        <f t="shared" si="26"/>
        <v>0</v>
      </c>
      <c r="BF10" s="465">
        <f t="shared" si="26"/>
        <v>0</v>
      </c>
      <c r="BG10" s="465">
        <f t="shared" si="26"/>
        <v>0</v>
      </c>
      <c r="BH10" s="387"/>
    </row>
    <row r="11" spans="1:60" s="376" customFormat="1" x14ac:dyDescent="0.25">
      <c r="A11" s="461" t="str">
        <f>"Enterprise Value - "&amp;SP.ValuationToggle</f>
        <v>Enterprise Value - Avg</v>
      </c>
      <c r="B11" s="388"/>
      <c r="C11" s="389">
        <f t="shared" ref="C11:AH11" ca="1" si="27">INDEX(SP_CS_MarketCap,0,COLUMN())-INDEX(SP_CS_Cash,0,COLUMN())+INDEX(SP_CS_Debt,0,COLUMN())+INDEX(SP_CS_OL,0,COLUMN())+INDEX(SP_CS_EVCalc_Other,0,COLUMN())</f>
        <v>2486.3645399999987</v>
      </c>
      <c r="D11" s="389">
        <f t="shared" ca="1" si="27"/>
        <v>6312.2641599999997</v>
      </c>
      <c r="E11" s="389">
        <f t="shared" ca="1" si="27"/>
        <v>1084.1811437500014</v>
      </c>
      <c r="F11" s="389">
        <f t="shared" ca="1" si="27"/>
        <v>4589.991579999989</v>
      </c>
      <c r="G11" s="390">
        <f t="shared" ca="1" si="27"/>
        <v>8344.4746299999897</v>
      </c>
      <c r="H11" s="390">
        <f t="shared" ca="1" si="27"/>
        <v>11775.705750000017</v>
      </c>
      <c r="I11" s="390">
        <f t="shared" ca="1" si="27"/>
        <v>15600.246049999983</v>
      </c>
      <c r="J11" s="390">
        <f t="shared" ca="1" si="27"/>
        <v>19896.512920000019</v>
      </c>
      <c r="K11" s="389">
        <f t="shared" ca="1" si="27"/>
        <v>13734.20601375001</v>
      </c>
      <c r="L11" s="390">
        <f t="shared" ca="1" si="27"/>
        <v>23145.309180000004</v>
      </c>
      <c r="M11" s="390">
        <f t="shared" ca="1" si="27"/>
        <v>22308.715394999999</v>
      </c>
      <c r="N11" s="390">
        <f t="shared" ca="1" si="27"/>
        <v>27108.256930000003</v>
      </c>
      <c r="O11" s="390">
        <f t="shared" ca="1" si="27"/>
        <v>23499.312580000002</v>
      </c>
      <c r="P11" s="389">
        <f t="shared" ca="1" si="27"/>
        <v>24069.802647500004</v>
      </c>
      <c r="Q11" s="390">
        <f t="shared" ca="1" si="27"/>
        <v>24334.367180000001</v>
      </c>
      <c r="R11" s="390">
        <f t="shared" ca="1" si="27"/>
        <v>34349.270474999998</v>
      </c>
      <c r="S11" s="390">
        <f t="shared" ca="1" si="27"/>
        <v>46787.054369999998</v>
      </c>
      <c r="T11" s="390">
        <f t="shared" ca="1" si="27"/>
        <v>50357.211604999997</v>
      </c>
      <c r="U11" s="389">
        <f t="shared" ca="1" si="27"/>
        <v>39256.032509999997</v>
      </c>
      <c r="V11" s="390">
        <f t="shared" ca="1" si="27"/>
        <v>44565.509545000001</v>
      </c>
      <c r="W11" s="390">
        <f t="shared" ca="1" si="27"/>
        <v>43622.539819999998</v>
      </c>
      <c r="X11" s="390">
        <f t="shared" ca="1" si="27"/>
        <v>41750.472265000004</v>
      </c>
      <c r="Y11" s="390">
        <f t="shared" ca="1" si="27"/>
        <v>51560.076979999998</v>
      </c>
      <c r="Z11" s="389">
        <f t="shared" ca="1" si="27"/>
        <v>46125.194620000002</v>
      </c>
      <c r="AA11" s="390">
        <f t="shared" ca="1" si="27"/>
        <v>62740.127400000005</v>
      </c>
      <c r="AB11" s="390">
        <f t="shared" ca="1" si="27"/>
        <v>70844.814429999999</v>
      </c>
      <c r="AC11" s="390">
        <f t="shared" ca="1" si="27"/>
        <v>78243.209750000009</v>
      </c>
      <c r="AD11" s="390">
        <f t="shared" ca="1" si="27"/>
        <v>89034.325159999993</v>
      </c>
      <c r="AE11" s="389">
        <f t="shared" ca="1" si="27"/>
        <v>75991.31697</v>
      </c>
      <c r="AF11" s="390">
        <f t="shared" ca="1" si="27"/>
        <v>126538.66319852456</v>
      </c>
      <c r="AG11" s="390">
        <f t="shared" ca="1" si="27"/>
        <v>158360.73870000002</v>
      </c>
      <c r="AH11" s="390">
        <f t="shared" ca="1" si="27"/>
        <v>169282.66864857162</v>
      </c>
      <c r="AI11" s="390">
        <f t="shared" ref="AI11:AY11" ca="1" si="28">INDEX(SP_CS_MarketCap,0,COLUMN())-INDEX(SP_CS_Cash,0,COLUMN())+INDEX(SP_CS_Debt,0,COLUMN())+INDEX(SP_CS_OL,0,COLUMN())+INDEX(SP_CS_EVCalc_Other,0,COLUMN())</f>
        <v>141547.95287714267</v>
      </c>
      <c r="AJ11" s="389">
        <f t="shared" ca="1" si="28"/>
        <v>150625.84859386459</v>
      </c>
      <c r="AK11" s="390">
        <f t="shared" ca="1" si="28"/>
        <v>164489.72914098343</v>
      </c>
      <c r="AL11" s="390">
        <f t="shared" ca="1" si="28"/>
        <v>171791.77922222237</v>
      </c>
      <c r="AM11" s="390">
        <f t="shared" ca="1" si="28"/>
        <v>150365.53761500004</v>
      </c>
      <c r="AN11" s="390">
        <f t="shared" ca="1" si="28"/>
        <v>145150.77194703129</v>
      </c>
      <c r="AO11" s="389">
        <f t="shared" ca="1" si="28"/>
        <v>159901.23721984137</v>
      </c>
      <c r="AP11" s="390">
        <f t="shared" ca="1" si="28"/>
        <v>171169.3641191936</v>
      </c>
      <c r="AQ11" s="390">
        <f t="shared" ca="1" si="28"/>
        <v>203735.17513333343</v>
      </c>
      <c r="AR11" s="390">
        <f ca="1">INDEX(SP_CS_MarketCap,0,COLUMN())-INDEX(SP_CS_Cash,0,COLUMN())+INDEX(SP_CS_Debt,0,COLUMN())+INDEX(SP_CS_OL,0,COLUMN())+INDEX(SP_CS_EVCalc_Other,0,COLUMN())</f>
        <v>236211.15509500002</v>
      </c>
      <c r="AS11" s="390">
        <f ca="1">INDEX(SP_CS_MarketCap,0,COLUMN())-INDEX(SP_CS_Cash,0,COLUMN())+INDEX(SP_CS_Debt,0,COLUMN())+INDEX(SP_CS_OL,0,COLUMN())+INDEX(SP_CS_EVCalc_Other,0,COLUMN())</f>
        <v>241089.90858062502</v>
      </c>
      <c r="AT11" s="389">
        <f ca="1">INDEX(SP_CS_MarketCap,0,COLUMN())-INDEX(SP_CS_Cash,0,COLUMN())+INDEX(SP_CS_Debt,0,COLUMN())+INDEX(SP_CS_OL,0,COLUMN())+INDEX(SP_CS_EVCalc_Other,0,COLUMN())</f>
        <v>213224.45096158143</v>
      </c>
      <c r="AU11" s="390">
        <f t="shared" ca="1" si="28"/>
        <v>250991.28535409857</v>
      </c>
      <c r="AV11" s="390">
        <f ca="1">INDEX(SP_CS_MarketCap,0,COLUMN())-INDEX(SP_CS_Cash,0,COLUMN())+INDEX(SP_CS_Debt,0,COLUMN())+INDEX(SP_CS_OL,0,COLUMN())+INDEX(SP_CS_EVCalc_Other,0,COLUMN())</f>
        <v>242783.76273666651</v>
      </c>
      <c r="AW11" s="615">
        <f ca="1">INDEX(SP_CS_MarketCap,0,COLUMN())-INDEX(SP_CS_Cash,0,COLUMN())+INDEX(SP_CS_Debt,0,COLUMN())+INDEX(SP_CS_OL,0,COLUMN())+INDEX(SP_CS_EVCalc_Other,0,COLUMN())</f>
        <v>260813.29715234376</v>
      </c>
      <c r="AX11" s="390">
        <f t="shared" ca="1" si="28"/>
        <v>261767.66025969069</v>
      </c>
      <c r="AY11" s="389">
        <f t="shared" ca="1" si="28"/>
        <v>261894.91695969066</v>
      </c>
      <c r="AZ11" s="390">
        <f t="shared" ref="AZ11:BG11" ca="1" si="29">INDEX(SP_CS_MarketCap,0,COLUMN())-INDEX(SP_CS_Cash,0,COLUMN())+INDEX(SP_CS_Debt,0,COLUMN())+INDEX(SP_CS_OL,0,COLUMN())+INDEX(SP_CS_EVCalc_Other,0,COLUMN())</f>
        <v>260840.30552316431</v>
      </c>
      <c r="BA11" s="390">
        <f t="shared" ca="1" si="29"/>
        <v>259975.64108634691</v>
      </c>
      <c r="BB11" s="390">
        <f t="shared" ca="1" si="29"/>
        <v>258519.50057897938</v>
      </c>
      <c r="BC11" s="390">
        <f t="shared" ca="1" si="29"/>
        <v>257520.40623510969</v>
      </c>
      <c r="BD11" s="389">
        <f t="shared" ca="1" si="29"/>
        <v>257520.40623510969</v>
      </c>
      <c r="BE11" s="389">
        <f t="shared" ca="1" si="29"/>
        <v>250825.7319392128</v>
      </c>
      <c r="BF11" s="389">
        <f t="shared" ca="1" si="29"/>
        <v>241086.87475256476</v>
      </c>
      <c r="BG11" s="389">
        <f t="shared" ca="1" si="29"/>
        <v>227944.39779229235</v>
      </c>
      <c r="BH11" s="391"/>
    </row>
    <row r="12" spans="1:60" customFormat="1" x14ac:dyDescent="0.25">
      <c r="A12" s="249"/>
      <c r="B12" s="254"/>
      <c r="C12" s="956"/>
      <c r="D12" s="956"/>
      <c r="E12" s="956"/>
      <c r="F12" s="956"/>
      <c r="G12" s="957"/>
      <c r="H12" s="957"/>
      <c r="I12" s="957"/>
      <c r="J12" s="957"/>
      <c r="K12" s="956"/>
      <c r="L12" s="957"/>
      <c r="M12" s="957"/>
      <c r="N12" s="957"/>
      <c r="O12" s="957"/>
      <c r="P12" s="956"/>
      <c r="Q12" s="957"/>
      <c r="R12" s="957"/>
      <c r="S12" s="957"/>
      <c r="T12" s="957"/>
      <c r="U12" s="956"/>
      <c r="V12" s="957"/>
      <c r="W12" s="957"/>
      <c r="X12" s="957"/>
      <c r="Y12" s="957"/>
      <c r="Z12" s="956"/>
      <c r="AA12" s="957"/>
      <c r="AB12" s="957"/>
      <c r="AC12" s="957"/>
      <c r="AD12" s="957"/>
      <c r="AE12" s="956"/>
      <c r="AF12" s="957"/>
      <c r="AG12" s="957"/>
      <c r="AH12" s="957"/>
      <c r="AI12" s="957"/>
      <c r="AJ12" s="956"/>
      <c r="AK12" s="957"/>
      <c r="AL12" s="957"/>
      <c r="AM12" s="957"/>
      <c r="AN12" s="957"/>
      <c r="AO12" s="956"/>
      <c r="AP12" s="957"/>
      <c r="AQ12" s="957"/>
      <c r="AR12" s="957"/>
      <c r="AS12" s="957"/>
      <c r="AT12" s="956"/>
      <c r="AU12" s="957"/>
      <c r="AV12" s="957"/>
      <c r="AW12" s="958"/>
      <c r="AX12" s="957"/>
      <c r="AY12" s="956"/>
      <c r="AZ12" s="957"/>
      <c r="BA12" s="957"/>
      <c r="BB12" s="957"/>
      <c r="BC12" s="957"/>
      <c r="BD12" s="956"/>
      <c r="BE12" s="956"/>
      <c r="BF12" s="956"/>
      <c r="BG12" s="956"/>
      <c r="BH12" s="839"/>
    </row>
    <row r="13" spans="1:60" customFormat="1" x14ac:dyDescent="0.25">
      <c r="A13" s="155" t="s">
        <v>332</v>
      </c>
      <c r="B13" s="840"/>
      <c r="C13" s="959"/>
      <c r="D13" s="959"/>
      <c r="E13" s="959"/>
      <c r="F13" s="959"/>
      <c r="G13" s="959"/>
      <c r="H13" s="959"/>
      <c r="I13" s="959"/>
      <c r="J13" s="959"/>
      <c r="K13" s="959"/>
      <c r="L13" s="959"/>
      <c r="M13" s="959"/>
      <c r="N13" s="959"/>
      <c r="O13" s="959"/>
      <c r="P13" s="959"/>
      <c r="Q13" s="959"/>
      <c r="R13" s="959"/>
      <c r="S13" s="959"/>
      <c r="T13" s="959"/>
      <c r="U13" s="959"/>
      <c r="V13" s="959"/>
      <c r="W13" s="959"/>
      <c r="X13" s="959"/>
      <c r="Y13" s="959"/>
      <c r="Z13" s="959"/>
      <c r="AA13" s="959"/>
      <c r="AB13" s="959"/>
      <c r="AC13" s="959"/>
      <c r="AD13" s="959"/>
      <c r="AE13" s="959"/>
      <c r="AF13" s="959"/>
      <c r="AG13" s="959"/>
      <c r="AH13" s="959"/>
      <c r="AI13" s="959"/>
      <c r="AJ13" s="959"/>
      <c r="AK13" s="959"/>
      <c r="AL13" s="959"/>
      <c r="AM13" s="959"/>
      <c r="AN13" s="959"/>
      <c r="AO13" s="959"/>
      <c r="AP13" s="959"/>
      <c r="AQ13" s="959"/>
      <c r="AR13" s="959"/>
      <c r="AS13" s="959"/>
      <c r="AT13" s="959"/>
      <c r="AU13" s="959"/>
      <c r="AV13" s="959"/>
      <c r="AW13" s="960"/>
      <c r="AX13" s="959"/>
      <c r="AY13" s="959"/>
      <c r="AZ13" s="959"/>
      <c r="BA13" s="959"/>
      <c r="BB13" s="959"/>
      <c r="BC13" s="959"/>
      <c r="BD13" s="959"/>
      <c r="BE13" s="959"/>
      <c r="BF13" s="959"/>
      <c r="BG13" s="959"/>
      <c r="BH13" s="239"/>
    </row>
    <row r="14" spans="1:60" s="416" customFormat="1" x14ac:dyDescent="0.25">
      <c r="A14" s="778" t="str">
        <f>Model!A73</f>
        <v>Y/Y United States &amp; Canada streaming revenue growth, %</v>
      </c>
      <c r="B14" s="775"/>
      <c r="C14" s="124">
        <f>Model!C73</f>
        <v>0</v>
      </c>
      <c r="D14" s="124">
        <f>Model!D73</f>
        <v>0</v>
      </c>
      <c r="E14" s="124">
        <f>Model!E73</f>
        <v>0</v>
      </c>
      <c r="F14" s="124">
        <f>Model!F73</f>
        <v>0</v>
      </c>
      <c r="G14" s="225">
        <f>Model!G73</f>
        <v>0</v>
      </c>
      <c r="H14" s="225">
        <f>Model!H73</f>
        <v>0</v>
      </c>
      <c r="I14" s="225">
        <f>Model!I73</f>
        <v>0</v>
      </c>
      <c r="J14" s="225">
        <f>Model!J73</f>
        <v>0</v>
      </c>
      <c r="K14" s="124">
        <f>Model!K73</f>
        <v>0</v>
      </c>
      <c r="L14" s="225">
        <f>Model!L73</f>
        <v>0</v>
      </c>
      <c r="M14" s="225">
        <f>Model!M73</f>
        <v>0</v>
      </c>
      <c r="N14" s="225">
        <f>Model!N73</f>
        <v>0</v>
      </c>
      <c r="O14" s="225">
        <f>Model!O73</f>
        <v>0</v>
      </c>
      <c r="P14" s="124">
        <f>Model!P73</f>
        <v>0</v>
      </c>
      <c r="Q14" s="225">
        <f>Model!Q73</f>
        <v>0</v>
      </c>
      <c r="R14" s="225">
        <f>Model!R73</f>
        <v>0</v>
      </c>
      <c r="S14" s="225">
        <f>Model!S73</f>
        <v>0</v>
      </c>
      <c r="T14" s="225">
        <f>Model!T73</f>
        <v>0</v>
      </c>
      <c r="U14" s="124">
        <f>Model!U73</f>
        <v>0</v>
      </c>
      <c r="V14" s="225">
        <f>Model!V73</f>
        <v>0</v>
      </c>
      <c r="W14" s="225">
        <f>Model!W73</f>
        <v>0</v>
      </c>
      <c r="X14" s="225">
        <f>Model!X73</f>
        <v>0</v>
      </c>
      <c r="Y14" s="225">
        <f>Model!Y73</f>
        <v>0</v>
      </c>
      <c r="Z14" s="124">
        <f>Model!Z73</f>
        <v>0</v>
      </c>
      <c r="AA14" s="225">
        <f>Model!AA73</f>
        <v>0</v>
      </c>
      <c r="AB14" s="225">
        <f>Model!AB73</f>
        <v>0</v>
      </c>
      <c r="AC14" s="225">
        <f>Model!AC73</f>
        <v>0</v>
      </c>
      <c r="AD14" s="225">
        <f>Model!AD73</f>
        <v>0</v>
      </c>
      <c r="AE14" s="124">
        <f>Model!AE73</f>
        <v>0</v>
      </c>
      <c r="AF14" s="225">
        <f>Model!AF73</f>
        <v>0.24586944502060626</v>
      </c>
      <c r="AG14" s="225">
        <f>Model!AG73</f>
        <v>0.26172727479797109</v>
      </c>
      <c r="AH14" s="225">
        <f>Model!AH73</f>
        <v>0.25117361919073433</v>
      </c>
      <c r="AI14" s="225">
        <f>Model!AI73</f>
        <v>0.21677636153868218</v>
      </c>
      <c r="AJ14" s="124">
        <f>Model!AJ73</f>
        <v>0.24331291204332661</v>
      </c>
      <c r="AK14" s="225">
        <f>Model!AK73</f>
        <v>0.14204033383987213</v>
      </c>
      <c r="AL14" s="225">
        <f>Model!AL73</f>
        <v>0.22036733988893165</v>
      </c>
      <c r="AM14" s="225">
        <f>Model!AM73</f>
        <v>0.25128290808411102</v>
      </c>
      <c r="AN14" s="225">
        <f>Model!AN73</f>
        <v>0.23643404216329733</v>
      </c>
      <c r="AO14" s="124">
        <f>Model!AO73</f>
        <v>0.21368944779782306</v>
      </c>
      <c r="AP14" s="225">
        <f>Model!AP73</f>
        <v>0.19758725764350404</v>
      </c>
      <c r="AQ14" s="225">
        <f>Model!AQ73</f>
        <v>0.13532349884995165</v>
      </c>
      <c r="AR14" s="225">
        <f>Model!AR73</f>
        <v>0.11910157367668095</v>
      </c>
      <c r="AS14" s="225">
        <f>Model!AS73</f>
        <v>0.11512260152669973</v>
      </c>
      <c r="AT14" s="124">
        <f>Model!AT73</f>
        <v>0.1397034067944869</v>
      </c>
      <c r="AU14" s="225">
        <f>Model!AU73</f>
        <v>0.17322782206146581</v>
      </c>
      <c r="AV14" s="225">
        <f>Model!AV73</f>
        <v>0.13909116200121852</v>
      </c>
      <c r="AW14" s="776">
        <f>Model!AW73</f>
        <v>0.11053624663152029</v>
      </c>
      <c r="AX14" s="225">
        <f>Model!AX73</f>
        <v>0.11061408363066993</v>
      </c>
      <c r="AY14" s="124">
        <f>Model!AY73</f>
        <v>0.13242634434008216</v>
      </c>
      <c r="AZ14" s="225">
        <f>Model!AZ73</f>
        <v>6.4529339134651531E-2</v>
      </c>
      <c r="BA14" s="225">
        <f>Model!BA73</f>
        <v>6.4550907595902318E-2</v>
      </c>
      <c r="BB14" s="225">
        <f>Model!BB73</f>
        <v>7.8263364714657779E-2</v>
      </c>
      <c r="BC14" s="225">
        <f>Model!BC73</f>
        <v>8.2856705628080229E-2</v>
      </c>
      <c r="BD14" s="124">
        <f>Model!BD73</f>
        <v>7.2658740737168825E-2</v>
      </c>
      <c r="BE14" s="124">
        <f>Model!BE73</f>
        <v>6.6252400684540635E-2</v>
      </c>
      <c r="BF14" s="124">
        <f>Model!BF73</f>
        <v>6.0900000000000176E-2</v>
      </c>
      <c r="BG14" s="124">
        <f>Model!BG73</f>
        <v>6.0899999999999954E-2</v>
      </c>
      <c r="BH14" s="225"/>
    </row>
    <row r="15" spans="1:60" s="416" customFormat="1" x14ac:dyDescent="0.25">
      <c r="A15" s="778" t="str">
        <f>Model!A93</f>
        <v>Y/Y EMEA streaming revenue growth, %</v>
      </c>
      <c r="B15" s="775"/>
      <c r="C15" s="124">
        <f>Model!C93</f>
        <v>0</v>
      </c>
      <c r="D15" s="124">
        <f>Model!D93</f>
        <v>0</v>
      </c>
      <c r="E15" s="124">
        <f>Model!E93</f>
        <v>0</v>
      </c>
      <c r="F15" s="124">
        <f>Model!F93</f>
        <v>0</v>
      </c>
      <c r="G15" s="225">
        <f>Model!G93</f>
        <v>0</v>
      </c>
      <c r="H15" s="225">
        <f>Model!H93</f>
        <v>0</v>
      </c>
      <c r="I15" s="225">
        <f>Model!I93</f>
        <v>0</v>
      </c>
      <c r="J15" s="225">
        <f>Model!J93</f>
        <v>0</v>
      </c>
      <c r="K15" s="124">
        <f>Model!K93</f>
        <v>0</v>
      </c>
      <c r="L15" s="225">
        <f>Model!L93</f>
        <v>0</v>
      </c>
      <c r="M15" s="225">
        <f>Model!M93</f>
        <v>0</v>
      </c>
      <c r="N15" s="225">
        <f>Model!N93</f>
        <v>0</v>
      </c>
      <c r="O15" s="225">
        <f>Model!O93</f>
        <v>0</v>
      </c>
      <c r="P15" s="124">
        <f>Model!P93</f>
        <v>0</v>
      </c>
      <c r="Q15" s="225">
        <f>Model!Q93</f>
        <v>0</v>
      </c>
      <c r="R15" s="225">
        <f>Model!R93</f>
        <v>0</v>
      </c>
      <c r="S15" s="225">
        <f>Model!S93</f>
        <v>0</v>
      </c>
      <c r="T15" s="225">
        <f>Model!T93</f>
        <v>0</v>
      </c>
      <c r="U15" s="124">
        <f>Model!U93</f>
        <v>0</v>
      </c>
      <c r="V15" s="225">
        <f>Model!V93</f>
        <v>0</v>
      </c>
      <c r="W15" s="225">
        <f>Model!W93</f>
        <v>0</v>
      </c>
      <c r="X15" s="225">
        <f>Model!X93</f>
        <v>0</v>
      </c>
      <c r="Y15" s="225">
        <f>Model!Y93</f>
        <v>0</v>
      </c>
      <c r="Z15" s="124">
        <f>Model!Z93</f>
        <v>0</v>
      </c>
      <c r="AA15" s="225">
        <f>Model!AA93</f>
        <v>0</v>
      </c>
      <c r="AB15" s="225">
        <f>Model!AB93</f>
        <v>0</v>
      </c>
      <c r="AC15" s="225">
        <f>Model!AC93</f>
        <v>0</v>
      </c>
      <c r="AD15" s="225">
        <f>Model!AD93</f>
        <v>0</v>
      </c>
      <c r="AE15" s="124">
        <f>Model!AE93</f>
        <v>0</v>
      </c>
      <c r="AF15" s="225">
        <f>Model!AF93</f>
        <v>0.83844514205381926</v>
      </c>
      <c r="AG15" s="225">
        <f>Model!AG93</f>
        <v>0.82986430262353261</v>
      </c>
      <c r="AH15" s="225">
        <f>Model!AH93</f>
        <v>0.63451693245725194</v>
      </c>
      <c r="AI15" s="225">
        <f>Model!AI93</f>
        <v>0.49689242636401598</v>
      </c>
      <c r="AJ15" s="124">
        <f>Model!AJ93</f>
        <v>0.67753732521363297</v>
      </c>
      <c r="AK15" s="225">
        <f>Model!AK93</f>
        <v>0.39105666391097249</v>
      </c>
      <c r="AL15" s="225">
        <f>Model!AL93</f>
        <v>0.35222045787941947</v>
      </c>
      <c r="AM15" s="225">
        <f>Model!AM93</f>
        <v>0.42129029240138571</v>
      </c>
      <c r="AN15" s="225">
        <f>Model!AN93</f>
        <v>0.42463886244862392</v>
      </c>
      <c r="AO15" s="124">
        <f>Model!AO93</f>
        <v>0.39845528440926636</v>
      </c>
      <c r="AP15" s="225">
        <f>Model!AP93</f>
        <v>0.39735961127925812</v>
      </c>
      <c r="AQ15" s="225">
        <f>Model!AQ93</f>
        <v>0.43473250816663356</v>
      </c>
      <c r="AR15" s="225">
        <f>Model!AR93</f>
        <v>0.41388406487213247</v>
      </c>
      <c r="AS15" s="225">
        <f>Model!AS93</f>
        <v>0.3677277239096588</v>
      </c>
      <c r="AT15" s="124">
        <f>Model!AT93</f>
        <v>0.4021573255383708</v>
      </c>
      <c r="AU15" s="225">
        <f>Model!AU93</f>
        <v>0.35985457279889355</v>
      </c>
      <c r="AV15" s="225">
        <f>Model!AV93</f>
        <v>0.26839263908710898</v>
      </c>
      <c r="AW15" s="776">
        <f>Model!AW93</f>
        <v>0.20462556516993113</v>
      </c>
      <c r="AX15" s="225">
        <f>Model!AX93</f>
        <v>0.18185963438360631</v>
      </c>
      <c r="AY15" s="124">
        <f>Model!AY93</f>
        <v>0.24831435888851772</v>
      </c>
      <c r="AZ15" s="225">
        <f>Model!AZ93</f>
        <v>0.12093710049563189</v>
      </c>
      <c r="BA15" s="225">
        <f>Model!BA93</f>
        <v>0.12746196362253492</v>
      </c>
      <c r="BB15" s="225">
        <f>Model!BB93</f>
        <v>0.14634486218196874</v>
      </c>
      <c r="BC15" s="225">
        <f>Model!BC93</f>
        <v>0.13720969036900144</v>
      </c>
      <c r="BD15" s="124">
        <f>Model!BD93</f>
        <v>0.13315721856555807</v>
      </c>
      <c r="BE15" s="124">
        <f>Model!BE93</f>
        <v>0.16253886156684549</v>
      </c>
      <c r="BF15" s="124">
        <f>Model!BF93</f>
        <v>0.19599999999999995</v>
      </c>
      <c r="BG15" s="124">
        <f>Model!BG93</f>
        <v>0.19600000000000017</v>
      </c>
      <c r="BH15" s="225"/>
    </row>
    <row r="16" spans="1:60" s="416" customFormat="1" x14ac:dyDescent="0.25">
      <c r="A16" s="778" t="str">
        <f>Model!A113</f>
        <v>Y/Y Latin America streaming revenue growth, %</v>
      </c>
      <c r="B16" s="775"/>
      <c r="C16" s="124">
        <f>Model!C113</f>
        <v>0</v>
      </c>
      <c r="D16" s="124">
        <f>Model!D113</f>
        <v>0</v>
      </c>
      <c r="E16" s="124">
        <f>Model!E113</f>
        <v>0</v>
      </c>
      <c r="F16" s="124">
        <f>Model!F113</f>
        <v>0</v>
      </c>
      <c r="G16" s="225">
        <f>Model!G113</f>
        <v>0</v>
      </c>
      <c r="H16" s="225">
        <f>Model!H113</f>
        <v>0</v>
      </c>
      <c r="I16" s="225">
        <f>Model!I113</f>
        <v>0</v>
      </c>
      <c r="J16" s="225">
        <f>Model!J113</f>
        <v>0</v>
      </c>
      <c r="K16" s="124">
        <f>Model!K113</f>
        <v>0</v>
      </c>
      <c r="L16" s="225">
        <f>Model!L113</f>
        <v>0</v>
      </c>
      <c r="M16" s="225">
        <f>Model!M113</f>
        <v>0</v>
      </c>
      <c r="N16" s="225">
        <f>Model!N113</f>
        <v>0</v>
      </c>
      <c r="O16" s="225">
        <f>Model!O113</f>
        <v>0</v>
      </c>
      <c r="P16" s="124">
        <f>Model!P113</f>
        <v>0</v>
      </c>
      <c r="Q16" s="225">
        <f>Model!Q113</f>
        <v>0</v>
      </c>
      <c r="R16" s="225">
        <f>Model!R113</f>
        <v>0</v>
      </c>
      <c r="S16" s="225">
        <f>Model!S113</f>
        <v>0</v>
      </c>
      <c r="T16" s="225">
        <f>Model!T113</f>
        <v>0</v>
      </c>
      <c r="U16" s="124">
        <f>Model!U113</f>
        <v>0</v>
      </c>
      <c r="V16" s="225">
        <f>Model!V113</f>
        <v>0</v>
      </c>
      <c r="W16" s="225">
        <f>Model!W113</f>
        <v>0</v>
      </c>
      <c r="X16" s="225">
        <f>Model!X113</f>
        <v>0</v>
      </c>
      <c r="Y16" s="225">
        <f>Model!Y113</f>
        <v>0</v>
      </c>
      <c r="Z16" s="124">
        <f>Model!Z113</f>
        <v>0</v>
      </c>
      <c r="AA16" s="225">
        <f>Model!AA113</f>
        <v>0</v>
      </c>
      <c r="AB16" s="225">
        <f>Model!AB113</f>
        <v>0</v>
      </c>
      <c r="AC16" s="225">
        <f>Model!AC113</f>
        <v>0</v>
      </c>
      <c r="AD16" s="225">
        <f>Model!AD113</f>
        <v>0</v>
      </c>
      <c r="AE16" s="124">
        <f>Model!AE113</f>
        <v>0</v>
      </c>
      <c r="AF16" s="225">
        <f>Model!AF113</f>
        <v>0.62973935972822703</v>
      </c>
      <c r="AG16" s="225">
        <f>Model!AG113</f>
        <v>0.48920591728075635</v>
      </c>
      <c r="AH16" s="225">
        <f>Model!AH113</f>
        <v>0.29373937331612354</v>
      </c>
      <c r="AI16" s="225">
        <f>Model!AI113</f>
        <v>0.1455762553351363</v>
      </c>
      <c r="AJ16" s="124">
        <f>Model!AJ113</f>
        <v>0.36227639326537675</v>
      </c>
      <c r="AK16" s="225">
        <f>Model!AK113</f>
        <v>0.167147368849758</v>
      </c>
      <c r="AL16" s="225">
        <f>Model!AL113</f>
        <v>0.19199184608966124</v>
      </c>
      <c r="AM16" s="225">
        <f>Model!AM113</f>
        <v>0.31855730054934406</v>
      </c>
      <c r="AN16" s="225">
        <f>Model!AN113</f>
        <v>0.31607001482886865</v>
      </c>
      <c r="AO16" s="124">
        <f>Model!AO113</f>
        <v>0.2492459881744491</v>
      </c>
      <c r="AP16" s="225">
        <f>Model!AP113</f>
        <v>0.25850632541968555</v>
      </c>
      <c r="AQ16" s="225">
        <f>Model!AQ113</f>
        <v>0.15983790553153288</v>
      </c>
      <c r="AR16" s="225">
        <f>Model!AR113</f>
        <v>6.4671973500001423E-2</v>
      </c>
      <c r="AS16" s="225">
        <f>Model!AS113</f>
        <v>5.6444870791755308E-2</v>
      </c>
      <c r="AT16" s="124">
        <f>Model!AT113</f>
        <v>0.12924397428091661</v>
      </c>
      <c r="AU16" s="225">
        <f>Model!AU113</f>
        <v>5.44380070401147E-2</v>
      </c>
      <c r="AV16" s="225">
        <f>Model!AV113</f>
        <v>9.6151103686424655E-2</v>
      </c>
      <c r="AW16" s="776">
        <f>Model!AW113</f>
        <v>0.15950792009972337</v>
      </c>
      <c r="AX16" s="225">
        <f>Model!AX113</f>
        <v>0.19522139719120091</v>
      </c>
      <c r="AY16" s="124">
        <f>Model!AY113</f>
        <v>0.12625652029966505</v>
      </c>
      <c r="AZ16" s="225">
        <f>Model!AZ113</f>
        <v>0.16032201976319205</v>
      </c>
      <c r="BA16" s="225">
        <f>Model!BA113</f>
        <v>0.15032328890588831</v>
      </c>
      <c r="BB16" s="225">
        <f>Model!BB113</f>
        <v>0.10368273372821779</v>
      </c>
      <c r="BC16" s="225">
        <f>Model!BC113</f>
        <v>9.3419615501055597E-2</v>
      </c>
      <c r="BD16" s="124">
        <f>Model!BD113</f>
        <v>0.12558436901176973</v>
      </c>
      <c r="BE16" s="124">
        <f>Model!BE113</f>
        <v>0.10301972484607624</v>
      </c>
      <c r="BF16" s="124">
        <f>Model!BF113</f>
        <v>0.11300000000000021</v>
      </c>
      <c r="BG16" s="124">
        <f>Model!BG113</f>
        <v>0.11300000000000021</v>
      </c>
      <c r="BH16" s="225"/>
    </row>
    <row r="17" spans="1:60" s="416" customFormat="1" x14ac:dyDescent="0.25">
      <c r="A17" s="779" t="str">
        <f>Model!A133</f>
        <v>Y/Y Asia Pacific streaming revenue growth, %</v>
      </c>
      <c r="B17" s="780"/>
      <c r="C17" s="361">
        <f>Model!C133</f>
        <v>0</v>
      </c>
      <c r="D17" s="361">
        <f>Model!D133</f>
        <v>0</v>
      </c>
      <c r="E17" s="361">
        <f>Model!E133</f>
        <v>0</v>
      </c>
      <c r="F17" s="361">
        <f>Model!F133</f>
        <v>0</v>
      </c>
      <c r="G17" s="781">
        <f>Model!G133</f>
        <v>0</v>
      </c>
      <c r="H17" s="781">
        <f>Model!H133</f>
        <v>0</v>
      </c>
      <c r="I17" s="781">
        <f>Model!I133</f>
        <v>0</v>
      </c>
      <c r="J17" s="781">
        <f>Model!J133</f>
        <v>0</v>
      </c>
      <c r="K17" s="361">
        <f>Model!K133</f>
        <v>0</v>
      </c>
      <c r="L17" s="781">
        <f>Model!L133</f>
        <v>0</v>
      </c>
      <c r="M17" s="781">
        <f>Model!M133</f>
        <v>0</v>
      </c>
      <c r="N17" s="781">
        <f>Model!N133</f>
        <v>0</v>
      </c>
      <c r="O17" s="781">
        <f>Model!O133</f>
        <v>0</v>
      </c>
      <c r="P17" s="361">
        <f>Model!P133</f>
        <v>0</v>
      </c>
      <c r="Q17" s="781">
        <f>Model!Q133</f>
        <v>0</v>
      </c>
      <c r="R17" s="781">
        <f>Model!R133</f>
        <v>0</v>
      </c>
      <c r="S17" s="781">
        <f>Model!S133</f>
        <v>0</v>
      </c>
      <c r="T17" s="781">
        <f>Model!T133</f>
        <v>0</v>
      </c>
      <c r="U17" s="361">
        <f>Model!U133</f>
        <v>0</v>
      </c>
      <c r="V17" s="781">
        <f>Model!V133</f>
        <v>0</v>
      </c>
      <c r="W17" s="781">
        <f>Model!W133</f>
        <v>0</v>
      </c>
      <c r="X17" s="781">
        <f>Model!X133</f>
        <v>0</v>
      </c>
      <c r="Y17" s="781">
        <f>Model!Y133</f>
        <v>0</v>
      </c>
      <c r="Z17" s="361">
        <f>Model!Z133</f>
        <v>0</v>
      </c>
      <c r="AA17" s="781">
        <f>Model!AA133</f>
        <v>0</v>
      </c>
      <c r="AB17" s="781">
        <f>Model!AB133</f>
        <v>0</v>
      </c>
      <c r="AC17" s="781">
        <f>Model!AC133</f>
        <v>0</v>
      </c>
      <c r="AD17" s="781">
        <f>Model!AD133</f>
        <v>0</v>
      </c>
      <c r="AE17" s="361">
        <f>Model!AE133</f>
        <v>0</v>
      </c>
      <c r="AF17" s="781">
        <f>Model!AF133</f>
        <v>0.71152408048891602</v>
      </c>
      <c r="AG17" s="781">
        <f>Model!AG133</f>
        <v>0.67903895335159725</v>
      </c>
      <c r="AH17" s="781">
        <f>Model!AH133</f>
        <v>0.64703661759154407</v>
      </c>
      <c r="AI17" s="781">
        <f>Model!AI133</f>
        <v>0.56515837871770058</v>
      </c>
      <c r="AJ17" s="361">
        <f>Model!AJ133</f>
        <v>0.64224694753510869</v>
      </c>
      <c r="AK17" s="781">
        <f>Model!AK133</f>
        <v>0.60509650105214519</v>
      </c>
      <c r="AL17" s="781">
        <f>Model!AL133</f>
        <v>0.57961961925767902</v>
      </c>
      <c r="AM17" s="781">
        <f>Model!AM133</f>
        <v>0.5372651201692058</v>
      </c>
      <c r="AN17" s="781">
        <f>Model!AN133</f>
        <v>0.51079290060558757</v>
      </c>
      <c r="AO17" s="361">
        <f>Model!AO133</f>
        <v>0.55370706353032739</v>
      </c>
      <c r="AP17" s="781">
        <f>Model!AP133</f>
        <v>0.51331969136613687</v>
      </c>
      <c r="AQ17" s="781">
        <f>Model!AQ133</f>
        <v>0.62846858601292133</v>
      </c>
      <c r="AR17" s="781">
        <f>Model!AR133</f>
        <v>0.66069672302670135</v>
      </c>
      <c r="AS17" s="781">
        <f>Model!AS133</f>
        <v>0.63734660540848331</v>
      </c>
      <c r="AT17" s="361">
        <f>Model!AT133</f>
        <v>0.61433555559940944</v>
      </c>
      <c r="AU17" s="781">
        <f>Model!AU133</f>
        <v>0.576342885498077</v>
      </c>
      <c r="AV17" s="781">
        <f>Model!AV133</f>
        <v>0.40471588712794748</v>
      </c>
      <c r="AW17" s="782">
        <f>Model!AW133</f>
        <v>0.31361446295505835</v>
      </c>
      <c r="AX17" s="781">
        <f>Model!AX133</f>
        <v>0.32037248730297074</v>
      </c>
      <c r="AY17" s="361">
        <f>Model!AY133</f>
        <v>0.39098549431353513</v>
      </c>
      <c r="AZ17" s="781">
        <f>Model!AZ133</f>
        <v>0.29128472473072109</v>
      </c>
      <c r="BA17" s="781">
        <f>Model!BA133</f>
        <v>0.31182891513776334</v>
      </c>
      <c r="BB17" s="781">
        <f>Model!BB133</f>
        <v>0.33964472403962254</v>
      </c>
      <c r="BC17" s="781">
        <f>Model!BC133</f>
        <v>0.32310012895383089</v>
      </c>
      <c r="BD17" s="361">
        <f>Model!BD133</f>
        <v>0.31720001731608072</v>
      </c>
      <c r="BE17" s="361">
        <f>Model!BE133</f>
        <v>0.27693122642361256</v>
      </c>
      <c r="BF17" s="361">
        <f>Model!BF133</f>
        <v>0.2394999999999996</v>
      </c>
      <c r="BG17" s="361">
        <f>Model!BG133</f>
        <v>0.22609999999999997</v>
      </c>
      <c r="BH17" s="225"/>
    </row>
    <row r="18" spans="1:60" s="735" customFormat="1" x14ac:dyDescent="0.25">
      <c r="A18" s="783" t="str">
        <f>Model!A23</f>
        <v>Y/Y Streaming revenue growth, %</v>
      </c>
      <c r="B18" s="784"/>
      <c r="C18" s="785">
        <f>Model!C23</f>
        <v>0</v>
      </c>
      <c r="D18" s="785">
        <f>Model!D23</f>
        <v>0</v>
      </c>
      <c r="E18" s="785">
        <f>Model!E23</f>
        <v>0</v>
      </c>
      <c r="F18" s="785">
        <f>Model!F23</f>
        <v>0</v>
      </c>
      <c r="G18" s="372">
        <f>Model!G23</f>
        <v>0</v>
      </c>
      <c r="H18" s="372">
        <f>Model!H23</f>
        <v>0</v>
      </c>
      <c r="I18" s="372">
        <f>Model!I23</f>
        <v>0</v>
      </c>
      <c r="J18" s="372">
        <f>Model!J23</f>
        <v>0</v>
      </c>
      <c r="K18" s="785">
        <f>Model!K23</f>
        <v>0.40096707261336118</v>
      </c>
      <c r="L18" s="372">
        <f>Model!L23</f>
        <v>0.36515778794570797</v>
      </c>
      <c r="M18" s="372">
        <f>Model!M23</f>
        <v>0.36881519634022375</v>
      </c>
      <c r="N18" s="372">
        <f>Model!N23</f>
        <v>0.38308785772292442</v>
      </c>
      <c r="O18" s="372">
        <f>Model!O23</f>
        <v>0.35683678942838282</v>
      </c>
      <c r="P18" s="785">
        <f>Model!P23</f>
        <v>0.36830731877018219</v>
      </c>
      <c r="Q18" s="372">
        <f>Model!Q23</f>
        <v>0.31358076820222691</v>
      </c>
      <c r="R18" s="372">
        <f>Model!R23</f>
        <v>0.29239250545088247</v>
      </c>
      <c r="S18" s="372">
        <f>Model!S23</f>
        <v>0.29275903944522375</v>
      </c>
      <c r="T18" s="372">
        <f>Model!T23</f>
        <v>0.28125040701358106</v>
      </c>
      <c r="U18" s="785">
        <f>Model!U23</f>
        <v>0.29418303004855995</v>
      </c>
      <c r="V18" s="372">
        <f>Model!V23</f>
        <v>0.29505782078948273</v>
      </c>
      <c r="W18" s="372">
        <f>Model!W23</f>
        <v>0.32809068290429511</v>
      </c>
      <c r="X18" s="372">
        <f>Model!X23</f>
        <v>0.36498651658526438</v>
      </c>
      <c r="Y18" s="372">
        <f>Model!Y23</f>
        <v>0.40589282788527203</v>
      </c>
      <c r="Z18" s="785">
        <f>Model!Z23</f>
        <v>0.35127280529083738</v>
      </c>
      <c r="AA18" s="372">
        <f>Model!AA23</f>
        <v>0.3878964516607657</v>
      </c>
      <c r="AB18" s="372">
        <f>Model!AB23</f>
        <v>0.3581312116317954</v>
      </c>
      <c r="AC18" s="372">
        <f>Model!AC23</f>
        <v>0.3322030222266712</v>
      </c>
      <c r="AD18" s="372">
        <f>Model!AD23</f>
        <v>0.35279874171036218</v>
      </c>
      <c r="AE18" s="785">
        <f>Model!AE23</f>
        <v>0.35637919106722848</v>
      </c>
      <c r="AF18" s="372">
        <f>Model!AF23</f>
        <v>0.43154212970856154</v>
      </c>
      <c r="AG18" s="372">
        <f>Model!AG23</f>
        <v>0.42821261776287867</v>
      </c>
      <c r="AH18" s="372">
        <f>Model!AH23</f>
        <v>0.36037562899071007</v>
      </c>
      <c r="AI18" s="372">
        <f>Model!AI23</f>
        <v>0.28959319978004183</v>
      </c>
      <c r="AJ18" s="785">
        <f>Model!AJ23</f>
        <v>0.3723941970159621</v>
      </c>
      <c r="AK18" s="372">
        <f>Model!AK23</f>
        <v>0.23269699245302378</v>
      </c>
      <c r="AL18" s="372">
        <f>Model!AL23</f>
        <v>0.27070029462301215</v>
      </c>
      <c r="AM18" s="372">
        <f>Model!AM23</f>
        <v>0.3228230881371823</v>
      </c>
      <c r="AN18" s="372">
        <f>Model!AN23</f>
        <v>0.31628423837623765</v>
      </c>
      <c r="AO18" s="785">
        <f>Model!AO23</f>
        <v>0.28715725030773731</v>
      </c>
      <c r="AP18" s="372">
        <f>Model!AP23</f>
        <v>0.28445327166788559</v>
      </c>
      <c r="AQ18" s="372">
        <f>Model!AQ23</f>
        <v>0.25579131142359413</v>
      </c>
      <c r="AR18" s="372">
        <f>Model!AR23</f>
        <v>0.23270220072267134</v>
      </c>
      <c r="AS18" s="372">
        <f>Model!AS23</f>
        <v>0.22056232082270366</v>
      </c>
      <c r="AT18" s="785">
        <f>Model!AT23</f>
        <v>0.24660800041089193</v>
      </c>
      <c r="AU18" s="372">
        <f>Model!AU23</f>
        <v>0.24728287503355495</v>
      </c>
      <c r="AV18" s="372">
        <f>Model!AV23</f>
        <v>0.19859152268506031</v>
      </c>
      <c r="AW18" s="786">
        <f>Model!AW23</f>
        <v>0.16660887908878497</v>
      </c>
      <c r="AX18" s="372">
        <f>Model!AX23</f>
        <v>0.16563556348863084</v>
      </c>
      <c r="AY18" s="785">
        <f>Model!AY23</f>
        <v>0.19279851767105227</v>
      </c>
      <c r="AZ18" s="372">
        <f>Model!AZ23</f>
        <v>0.11868219405594682</v>
      </c>
      <c r="BA18" s="372">
        <f>Model!BA23</f>
        <v>0.12247035399422712</v>
      </c>
      <c r="BB18" s="372">
        <f>Model!BB23</f>
        <v>0.13295303669815328</v>
      </c>
      <c r="BC18" s="372">
        <f>Model!BC23</f>
        <v>0.13029743272356842</v>
      </c>
      <c r="BD18" s="785">
        <f>Model!BD23</f>
        <v>0.12623460866877956</v>
      </c>
      <c r="BE18" s="785">
        <f>Model!BE23</f>
        <v>0.13004106897038525</v>
      </c>
      <c r="BF18" s="785">
        <f>Model!BF23</f>
        <v>0.13934056178999521</v>
      </c>
      <c r="BG18" s="785">
        <f>Model!BG23</f>
        <v>0.14164976281535502</v>
      </c>
      <c r="BH18" s="372"/>
    </row>
    <row r="19" spans="1:60" s="416" customFormat="1" x14ac:dyDescent="0.25">
      <c r="A19" s="787" t="str">
        <f>Model!A26</f>
        <v>Y/Y United States DVD revenue growth, %</v>
      </c>
      <c r="B19" s="780"/>
      <c r="C19" s="361">
        <f>Model!C26</f>
        <v>0</v>
      </c>
      <c r="D19" s="361">
        <f>Model!D26</f>
        <v>0</v>
      </c>
      <c r="E19" s="361">
        <f>Model!E26</f>
        <v>0</v>
      </c>
      <c r="F19" s="361">
        <f>Model!F26</f>
        <v>0</v>
      </c>
      <c r="G19" s="781">
        <f>Model!G26</f>
        <v>0</v>
      </c>
      <c r="H19" s="781">
        <f>Model!H26</f>
        <v>0</v>
      </c>
      <c r="I19" s="781">
        <f>Model!I26</f>
        <v>0</v>
      </c>
      <c r="J19" s="781">
        <f>Model!J26</f>
        <v>0</v>
      </c>
      <c r="K19" s="361">
        <f>Model!K26</f>
        <v>-0.19885703931489207</v>
      </c>
      <c r="L19" s="781">
        <f>Model!L26</f>
        <v>-0.16004981647642957</v>
      </c>
      <c r="M19" s="781">
        <f>Model!M26</f>
        <v>-0.1620614422005241</v>
      </c>
      <c r="N19" s="781">
        <f>Model!N26</f>
        <v>-0.15896153066053675</v>
      </c>
      <c r="O19" s="781">
        <f>Model!O26</f>
        <v>-0.15834810417428691</v>
      </c>
      <c r="P19" s="361">
        <f>Model!P26</f>
        <v>-0.15989951657723955</v>
      </c>
      <c r="Q19" s="781">
        <f>Model!Q26</f>
        <v>-0.15245113871027738</v>
      </c>
      <c r="R19" s="781">
        <f>Model!R26</f>
        <v>-0.15767688128142321</v>
      </c>
      <c r="S19" s="781">
        <f>Model!S26</f>
        <v>-0.15580636344635768</v>
      </c>
      <c r="T19" s="781">
        <f>Model!T26</f>
        <v>-0.15875067552886224</v>
      </c>
      <c r="U19" s="361">
        <f>Model!U26</f>
        <v>-0.15607695635297669</v>
      </c>
      <c r="V19" s="781">
        <f>Model!V26</f>
        <v>-0.16427829099307145</v>
      </c>
      <c r="W19" s="781">
        <f>Model!W26</f>
        <v>-0.15416600617005449</v>
      </c>
      <c r="X19" s="781">
        <f>Model!X26</f>
        <v>-0.1596518625733222</v>
      </c>
      <c r="Y19" s="781">
        <f>Model!Y26</f>
        <v>-0.16280009271830187</v>
      </c>
      <c r="Z19" s="361">
        <f>Model!Z26</f>
        <v>-0.16023551383922541</v>
      </c>
      <c r="AA19" s="781">
        <f>Model!AA26</f>
        <v>-0.16824528314921905</v>
      </c>
      <c r="AB19" s="781">
        <f>Model!AB26</f>
        <v>-0.17295937490989821</v>
      </c>
      <c r="AC19" s="781">
        <f>Model!AC26</f>
        <v>-0.16741076487252127</v>
      </c>
      <c r="AD19" s="781">
        <f>Model!AD26</f>
        <v>-0.16818681622934351</v>
      </c>
      <c r="AE19" s="361">
        <f>Model!AE26</f>
        <v>-0.16923397514508542</v>
      </c>
      <c r="AF19" s="781">
        <f>Model!AF26</f>
        <v>-0.17976809475555255</v>
      </c>
      <c r="AG19" s="781">
        <f>Model!AG26</f>
        <v>-0.19028735281556952</v>
      </c>
      <c r="AH19" s="781">
        <f>Model!AH26</f>
        <v>-0.19450342061807024</v>
      </c>
      <c r="AI19" s="781">
        <f>Model!AI26</f>
        <v>-0.19015330188679291</v>
      </c>
      <c r="AJ19" s="361">
        <f>Model!AJ26</f>
        <v>-0.18847628286092921</v>
      </c>
      <c r="AK19" s="781">
        <f>Model!AK26</f>
        <v>-0.18291460339642129</v>
      </c>
      <c r="AL19" s="781">
        <f>Model!AL26</f>
        <v>-0.17979850167915257</v>
      </c>
      <c r="AM19" s="781">
        <f>Model!AM26</f>
        <v>-0.19036462146727195</v>
      </c>
      <c r="AN19" s="781">
        <f>Model!AN26</f>
        <v>-0.19616707962938995</v>
      </c>
      <c r="AO19" s="361">
        <f>Model!AO26</f>
        <v>-0.18701875603478224</v>
      </c>
      <c r="AP19" s="781">
        <f>Model!AP26</f>
        <v>-0.20275629585564148</v>
      </c>
      <c r="AQ19" s="781">
        <f>Model!AQ26</f>
        <v>-0.19198162729658796</v>
      </c>
      <c r="AR19" s="781">
        <f>Model!AR26</f>
        <v>-0.18146277668795296</v>
      </c>
      <c r="AS19" s="781">
        <f>Model!AS26</f>
        <v>-0.20165955706188299</v>
      </c>
      <c r="AT19" s="361">
        <f>Model!AT26</f>
        <v>-0.19459183021159621</v>
      </c>
      <c r="AU19" s="781">
        <f>Model!AU26</f>
        <v>-0.22934025618704146</v>
      </c>
      <c r="AV19" s="781">
        <f>Model!AV26</f>
        <v>-0.2481525393448214</v>
      </c>
      <c r="AW19" s="782">
        <f>Model!AW26</f>
        <v>-0.24818982221164643</v>
      </c>
      <c r="AX19" s="781">
        <f>Model!AX26</f>
        <v>-0.23107158541941153</v>
      </c>
      <c r="AY19" s="361">
        <f>Model!AY26</f>
        <v>-0.23920695460374886</v>
      </c>
      <c r="AZ19" s="781">
        <f>Model!AZ26</f>
        <v>-0.1947679273827535</v>
      </c>
      <c r="BA19" s="781">
        <f>Model!BA26</f>
        <v>-0.18077829862611261</v>
      </c>
      <c r="BB19" s="781">
        <f>Model!BB26</f>
        <v>-0.18549375000000012</v>
      </c>
      <c r="BC19" s="781">
        <f>Model!BC26</f>
        <v>-0.18549375000000012</v>
      </c>
      <c r="BD19" s="361">
        <f>Model!BD26</f>
        <v>-0.18681969149085709</v>
      </c>
      <c r="BE19" s="361">
        <f>Model!BE26</f>
        <v>-0.19999999999999996</v>
      </c>
      <c r="BF19" s="361">
        <f>Model!BF26</f>
        <v>-0.19999999999999996</v>
      </c>
      <c r="BG19" s="361">
        <f>Model!BG26</f>
        <v>-0.19999999999999996</v>
      </c>
      <c r="BH19" s="225"/>
    </row>
    <row r="20" spans="1:60" s="735" customFormat="1" x14ac:dyDescent="0.25">
      <c r="A20" s="160" t="str">
        <f>Model!A32</f>
        <v>Y/Y Total revenue growth, %</v>
      </c>
      <c r="B20" s="784"/>
      <c r="C20" s="785">
        <f>Model!C32</f>
        <v>0</v>
      </c>
      <c r="D20" s="785">
        <f>Model!D32</f>
        <v>0.2947764701374449</v>
      </c>
      <c r="E20" s="785">
        <f>Model!E32</f>
        <v>0.48179966475926261</v>
      </c>
      <c r="F20" s="785">
        <f>Model!F32</f>
        <v>0.12628967879380015</v>
      </c>
      <c r="G20" s="372">
        <f>Model!G32</f>
        <v>0</v>
      </c>
      <c r="H20" s="372">
        <f>Model!H32</f>
        <v>0</v>
      </c>
      <c r="I20" s="372">
        <f>Model!I32</f>
        <v>0</v>
      </c>
      <c r="J20" s="372">
        <f>Model!J32</f>
        <v>0</v>
      </c>
      <c r="K20" s="785">
        <f>Model!K32</f>
        <v>0.21203109094828276</v>
      </c>
      <c r="L20" s="372">
        <f>Model!L32</f>
        <v>0.24036852966079758</v>
      </c>
      <c r="M20" s="372">
        <f>Model!M32</f>
        <v>0.25345249361307398</v>
      </c>
      <c r="N20" s="372">
        <f>Model!N32</f>
        <v>0.27435196596018629</v>
      </c>
      <c r="O20" s="372">
        <f>Model!O32</f>
        <v>0.26335100363333153</v>
      </c>
      <c r="P20" s="785">
        <f>Model!P32</f>
        <v>0.25833306283006174</v>
      </c>
      <c r="Q20" s="372">
        <f>Model!Q32</f>
        <v>0.2385974526194623</v>
      </c>
      <c r="R20" s="372">
        <f>Model!R32</f>
        <v>0.22701090042054384</v>
      </c>
      <c r="S20" s="372">
        <f>Model!S32</f>
        <v>0.23337273454838536</v>
      </c>
      <c r="T20" s="372">
        <f>Model!T32</f>
        <v>0.22805860736781369</v>
      </c>
      <c r="U20" s="785">
        <f>Model!U32</f>
        <v>0.23159576184233854</v>
      </c>
      <c r="V20" s="372">
        <f>Model!V32</f>
        <v>0.24448535371225111</v>
      </c>
      <c r="W20" s="372">
        <f>Model!W32</f>
        <v>0.2799973733715817</v>
      </c>
      <c r="X20" s="372">
        <f>Model!X32</f>
        <v>0.31744551601945514</v>
      </c>
      <c r="Y20" s="372">
        <f>Model!Y32</f>
        <v>0.35879787180948308</v>
      </c>
      <c r="Z20" s="785">
        <f>Model!Z32</f>
        <v>0.30255249973043785</v>
      </c>
      <c r="AA20" s="372">
        <f>Model!AA32</f>
        <v>0.3467776043348032</v>
      </c>
      <c r="AB20" s="372">
        <f>Model!AB32</f>
        <v>0.32313258002549849</v>
      </c>
      <c r="AC20" s="372">
        <f>Model!AC32</f>
        <v>0.30332487987885703</v>
      </c>
      <c r="AD20" s="372">
        <f>Model!AD32</f>
        <v>0.32621619581673955</v>
      </c>
      <c r="AE20" s="785">
        <f>Model!AE32</f>
        <v>0.32410273785598775</v>
      </c>
      <c r="AF20" s="372">
        <f>Model!AF32</f>
        <v>0.40362848858488198</v>
      </c>
      <c r="AG20" s="372">
        <f>Model!AG32</f>
        <v>0.40273577400390015</v>
      </c>
      <c r="AH20" s="372">
        <f>Model!AH32</f>
        <v>0.33988707674298846</v>
      </c>
      <c r="AI20" s="372">
        <f>Model!AI32</f>
        <v>0.27424016702401732</v>
      </c>
      <c r="AJ20" s="785">
        <f>Model!AJ32</f>
        <v>0.35078497180252377</v>
      </c>
      <c r="AK20" s="372">
        <f>Model!AK32</f>
        <v>0.22160710927417848</v>
      </c>
      <c r="AL20" s="372">
        <f>Model!AL32</f>
        <v>0.25998868775385375</v>
      </c>
      <c r="AM20" s="372">
        <f>Model!AM32</f>
        <v>0.31143148902803319</v>
      </c>
      <c r="AN20" s="372">
        <f>Model!AN32</f>
        <v>0.30586138809665808</v>
      </c>
      <c r="AO20" s="785">
        <f>Model!AO32</f>
        <v>0.27618157667990095</v>
      </c>
      <c r="AP20" s="372">
        <f>Model!AP32</f>
        <v>0.27575784252659585</v>
      </c>
      <c r="AQ20" s="372">
        <f>Model!AQ32</f>
        <v>0.24886068091834534</v>
      </c>
      <c r="AR20" s="372">
        <f>Model!AR32</f>
        <v>0.22702641897231679</v>
      </c>
      <c r="AS20" s="372">
        <f>Model!AS32</f>
        <v>0.21527612404649088</v>
      </c>
      <c r="AT20" s="785">
        <f>Model!AT32</f>
        <v>0.24010228588401494</v>
      </c>
      <c r="AU20" s="372">
        <f>Model!AU32</f>
        <v>0.24196701938436038</v>
      </c>
      <c r="AV20" s="372">
        <f>Model!AV32</f>
        <v>0.19411767767472066</v>
      </c>
      <c r="AW20" s="786">
        <f>Model!AW32</f>
        <v>0.16281682761162575</v>
      </c>
      <c r="AX20" s="372">
        <f>Model!AX32</f>
        <v>0.16237279856818665</v>
      </c>
      <c r="AY20" s="785">
        <f>Model!AY32</f>
        <v>0.18866130890665311</v>
      </c>
      <c r="AZ20" s="372">
        <f>Model!AZ32</f>
        <v>0.11651289655093122</v>
      </c>
      <c r="BA20" s="372">
        <f>Model!BA32</f>
        <v>0.12055828466454033</v>
      </c>
      <c r="BB20" s="372">
        <f>Model!BB32</f>
        <v>0.13107081576108848</v>
      </c>
      <c r="BC20" s="372">
        <f>Model!BC32</f>
        <v>0.12857930190069133</v>
      </c>
      <c r="BD20" s="785">
        <f>Model!BD32</f>
        <v>0.12431573550561659</v>
      </c>
      <c r="BE20" s="785">
        <f>Model!BE32</f>
        <v>0.12857790450619522</v>
      </c>
      <c r="BF20" s="785">
        <f>Model!BF32</f>
        <v>0.13827416365227507</v>
      </c>
      <c r="BG20" s="785">
        <f>Model!BG32</f>
        <v>0.14089517839258603</v>
      </c>
      <c r="BH20" s="372"/>
    </row>
    <row r="21" spans="1:60" s="735" customFormat="1" x14ac:dyDescent="0.25">
      <c r="A21" s="160" t="str">
        <f>Model!A31</f>
        <v>Y/Y Total constant currency revenue growth (calculated), %</v>
      </c>
      <c r="B21" s="784"/>
      <c r="C21" s="785">
        <f>Model!C31</f>
        <v>0</v>
      </c>
      <c r="D21" s="785">
        <f>Model!D31</f>
        <v>0</v>
      </c>
      <c r="E21" s="785">
        <f>Model!E31</f>
        <v>0</v>
      </c>
      <c r="F21" s="785">
        <f>Model!F31</f>
        <v>0</v>
      </c>
      <c r="G21" s="372">
        <f>Model!G31</f>
        <v>0</v>
      </c>
      <c r="H21" s="372">
        <f>Model!H31</f>
        <v>0</v>
      </c>
      <c r="I21" s="372">
        <f>Model!I31</f>
        <v>0</v>
      </c>
      <c r="J21" s="372">
        <f>Model!J31</f>
        <v>0</v>
      </c>
      <c r="K21" s="785">
        <f>Model!K31</f>
        <v>0</v>
      </c>
      <c r="L21" s="372">
        <f>Model!L31</f>
        <v>0</v>
      </c>
      <c r="M21" s="372">
        <f>Model!M31</f>
        <v>0</v>
      </c>
      <c r="N21" s="372">
        <f>Model!N31</f>
        <v>0</v>
      </c>
      <c r="O21" s="372">
        <f>Model!O31</f>
        <v>0</v>
      </c>
      <c r="P21" s="785">
        <f>Model!P31</f>
        <v>0</v>
      </c>
      <c r="Q21" s="372">
        <f>Model!Q31</f>
        <v>0</v>
      </c>
      <c r="R21" s="372">
        <f>Model!R31</f>
        <v>0</v>
      </c>
      <c r="S21" s="372">
        <f>Model!S31</f>
        <v>0</v>
      </c>
      <c r="T21" s="372">
        <f>Model!T31</f>
        <v>0</v>
      </c>
      <c r="U21" s="785">
        <f>Model!U31</f>
        <v>0</v>
      </c>
      <c r="V21" s="372">
        <f>Model!V31</f>
        <v>0</v>
      </c>
      <c r="W21" s="372">
        <f>Model!W31</f>
        <v>0</v>
      </c>
      <c r="X21" s="372">
        <f>Model!X31</f>
        <v>0</v>
      </c>
      <c r="Y21" s="372">
        <f>Model!Y31</f>
        <v>0</v>
      </c>
      <c r="Z21" s="785">
        <f>Model!Z31</f>
        <v>0</v>
      </c>
      <c r="AA21" s="372">
        <f>Model!AA31</f>
        <v>0</v>
      </c>
      <c r="AB21" s="372">
        <f>Model!AB31</f>
        <v>0</v>
      </c>
      <c r="AC21" s="372">
        <f>Model!AC31</f>
        <v>0</v>
      </c>
      <c r="AD21" s="372">
        <f>Model!AD31</f>
        <v>0</v>
      </c>
      <c r="AE21" s="785">
        <f>Model!AE31</f>
        <v>0</v>
      </c>
      <c r="AF21" s="372">
        <f>Model!AF31</f>
        <v>0</v>
      </c>
      <c r="AG21" s="372">
        <f>Model!AG31</f>
        <v>0</v>
      </c>
      <c r="AH21" s="372">
        <f>Model!AH31</f>
        <v>0</v>
      </c>
      <c r="AI21" s="372">
        <f>Model!AI31</f>
        <v>0</v>
      </c>
      <c r="AJ21" s="785">
        <f>Model!AJ31</f>
        <v>0</v>
      </c>
      <c r="AK21" s="372">
        <f>Model!AK31</f>
        <v>0.2832144779478043</v>
      </c>
      <c r="AL21" s="372">
        <f>Model!AL31</f>
        <v>0.32781097799742542</v>
      </c>
      <c r="AM21" s="372">
        <f>Model!AM31</f>
        <v>0.34568684999202404</v>
      </c>
      <c r="AN21" s="372">
        <f>Model!AN31</f>
        <v>0.33762758127189452</v>
      </c>
      <c r="AO21" s="785">
        <f>Model!AO31</f>
        <v>0.32442670447598942</v>
      </c>
      <c r="AP21" s="372">
        <f>Model!AP31</f>
        <v>0.30119473779205963</v>
      </c>
      <c r="AQ21" s="372">
        <f>Model!AQ31</f>
        <v>0.30756333996598917</v>
      </c>
      <c r="AR21" s="372">
        <f>Model!AR31</f>
        <v>0.25715089215152598</v>
      </c>
      <c r="AS21" s="372">
        <f>Model!AS31</f>
        <v>0.22149476335699747</v>
      </c>
      <c r="AT21" s="785">
        <f>Model!AT31</f>
        <v>0.26967098913811527</v>
      </c>
      <c r="AU21" s="372">
        <f>Model!AU31</f>
        <v>0.22809665080878982</v>
      </c>
      <c r="AV21" s="372">
        <f>Model!AV31</f>
        <v>0.1490644709761384</v>
      </c>
      <c r="AW21" s="786">
        <f>Model!AW31</f>
        <v>0.14292757655535904</v>
      </c>
      <c r="AX21" s="372">
        <f>Model!AX31</f>
        <v>0</v>
      </c>
      <c r="AY21" s="785">
        <f>Model!AY31</f>
        <v>0</v>
      </c>
      <c r="AZ21" s="372">
        <f>Model!AZ31</f>
        <v>0</v>
      </c>
      <c r="BA21" s="372">
        <f>Model!BA31</f>
        <v>0</v>
      </c>
      <c r="BB21" s="372">
        <f>Model!BB31</f>
        <v>0</v>
      </c>
      <c r="BC21" s="372">
        <f>Model!BC31</f>
        <v>0</v>
      </c>
      <c r="BD21" s="785">
        <f>Model!BD31</f>
        <v>0</v>
      </c>
      <c r="BE21" s="785">
        <f>Model!BE31</f>
        <v>0</v>
      </c>
      <c r="BF21" s="785">
        <f>Model!BF31</f>
        <v>0</v>
      </c>
      <c r="BG21" s="785">
        <f>Model!BG31</f>
        <v>0</v>
      </c>
      <c r="BH21" s="372"/>
    </row>
    <row r="22" spans="1:60" s="416" customFormat="1" x14ac:dyDescent="0.25">
      <c r="A22" s="258"/>
      <c r="B22" s="775"/>
      <c r="C22" s="124"/>
      <c r="D22" s="124"/>
      <c r="E22" s="124"/>
      <c r="F22" s="124"/>
      <c r="G22" s="225"/>
      <c r="H22" s="225"/>
      <c r="I22" s="225"/>
      <c r="J22" s="225"/>
      <c r="K22" s="124"/>
      <c r="L22" s="225"/>
      <c r="M22" s="225"/>
      <c r="N22" s="225"/>
      <c r="O22" s="225"/>
      <c r="P22" s="124"/>
      <c r="Q22" s="225"/>
      <c r="R22" s="225"/>
      <c r="S22" s="225"/>
      <c r="T22" s="225"/>
      <c r="U22" s="124"/>
      <c r="V22" s="225"/>
      <c r="W22" s="225"/>
      <c r="X22" s="225"/>
      <c r="Y22" s="225"/>
      <c r="Z22" s="124"/>
      <c r="AA22" s="225"/>
      <c r="AB22" s="225"/>
      <c r="AC22" s="225"/>
      <c r="AD22" s="225"/>
      <c r="AE22" s="124"/>
      <c r="AF22" s="225"/>
      <c r="AG22" s="225"/>
      <c r="AH22" s="225"/>
      <c r="AI22" s="225"/>
      <c r="AJ22" s="124"/>
      <c r="AK22" s="225"/>
      <c r="AL22" s="225"/>
      <c r="AM22" s="225"/>
      <c r="AN22" s="225"/>
      <c r="AO22" s="124"/>
      <c r="AP22" s="225"/>
      <c r="AQ22" s="225"/>
      <c r="AR22" s="225"/>
      <c r="AS22" s="225"/>
      <c r="AT22" s="124"/>
      <c r="AU22" s="225"/>
      <c r="AV22" s="225"/>
      <c r="AW22" s="776"/>
      <c r="AX22" s="225"/>
      <c r="AY22" s="124"/>
      <c r="AZ22" s="225"/>
      <c r="BA22" s="225"/>
      <c r="BB22" s="225"/>
      <c r="BC22" s="225"/>
      <c r="BD22" s="124"/>
      <c r="BE22" s="124"/>
      <c r="BF22" s="124"/>
      <c r="BG22" s="124"/>
      <c r="BH22" s="225"/>
    </row>
    <row r="23" spans="1:60" s="416" customFormat="1" x14ac:dyDescent="0.25">
      <c r="A23" s="777" t="str">
        <f>Model!A52</f>
        <v>Y/Y United States &amp; Canada EOP paid streaming memberships growth, %</v>
      </c>
      <c r="B23" s="775"/>
      <c r="C23" s="124">
        <f>Model!C52</f>
        <v>0</v>
      </c>
      <c r="D23" s="124">
        <f>Model!D52</f>
        <v>0</v>
      </c>
      <c r="E23" s="124">
        <f>Model!E52</f>
        <v>0</v>
      </c>
      <c r="F23" s="124">
        <f>Model!F52</f>
        <v>0</v>
      </c>
      <c r="G23" s="225">
        <f>Model!G52</f>
        <v>0</v>
      </c>
      <c r="H23" s="225">
        <f>Model!H52</f>
        <v>0</v>
      </c>
      <c r="I23" s="225">
        <f>Model!I52</f>
        <v>0</v>
      </c>
      <c r="J23" s="225">
        <f>Model!J52</f>
        <v>0</v>
      </c>
      <c r="K23" s="124">
        <f>Model!K52</f>
        <v>0</v>
      </c>
      <c r="L23" s="225">
        <f>Model!L52</f>
        <v>0</v>
      </c>
      <c r="M23" s="225">
        <f>Model!M52</f>
        <v>0</v>
      </c>
      <c r="N23" s="225">
        <f>Model!N52</f>
        <v>0</v>
      </c>
      <c r="O23" s="225">
        <f>Model!O52</f>
        <v>0</v>
      </c>
      <c r="P23" s="124">
        <f>Model!P52</f>
        <v>0</v>
      </c>
      <c r="Q23" s="225">
        <f>Model!Q52</f>
        <v>0</v>
      </c>
      <c r="R23" s="225">
        <f>Model!R52</f>
        <v>0</v>
      </c>
      <c r="S23" s="225">
        <f>Model!S52</f>
        <v>0</v>
      </c>
      <c r="T23" s="225">
        <f>Model!T52</f>
        <v>0</v>
      </c>
      <c r="U23" s="124">
        <f>Model!U52</f>
        <v>0</v>
      </c>
      <c r="V23" s="225">
        <f>Model!V52</f>
        <v>0</v>
      </c>
      <c r="W23" s="225">
        <f>Model!W52</f>
        <v>0</v>
      </c>
      <c r="X23" s="225">
        <f>Model!X52</f>
        <v>0</v>
      </c>
      <c r="Y23" s="225">
        <f>Model!Y52</f>
        <v>0</v>
      </c>
      <c r="Z23" s="124">
        <f>Model!Z52</f>
        <v>0</v>
      </c>
      <c r="AA23" s="225">
        <f>Model!AA52</f>
        <v>0</v>
      </c>
      <c r="AB23" s="225">
        <f>Model!AB52</f>
        <v>0</v>
      </c>
      <c r="AC23" s="225">
        <f>Model!AC52</f>
        <v>0</v>
      </c>
      <c r="AD23" s="225">
        <f>Model!AD52</f>
        <v>0</v>
      </c>
      <c r="AE23" s="124">
        <f>Model!AE52</f>
        <v>0</v>
      </c>
      <c r="AF23" s="225">
        <f>Model!AF52</f>
        <v>0.11606046724690788</v>
      </c>
      <c r="AG23" s="225">
        <f>Model!AG52</f>
        <v>0.11242965280399875</v>
      </c>
      <c r="AH23" s="225">
        <f>Model!AH52</f>
        <v>0.10974127758502261</v>
      </c>
      <c r="AI23" s="225">
        <f>Model!AI52</f>
        <v>0.10843517852863638</v>
      </c>
      <c r="AJ23" s="124">
        <f>Model!AJ52</f>
        <v>0.10843517852863638</v>
      </c>
      <c r="AK23" s="225">
        <f>Model!AK52</f>
        <v>9.3976259666059159E-2</v>
      </c>
      <c r="AL23" s="225">
        <f>Model!AL52</f>
        <v>7.4850492969128712E-2</v>
      </c>
      <c r="AM23" s="225">
        <f>Model!AM52</f>
        <v>6.5132518647833759E-2</v>
      </c>
      <c r="AN23" s="225">
        <f>Model!AN52</f>
        <v>4.486001513349902E-2</v>
      </c>
      <c r="AO23" s="124">
        <f>Model!AO52</f>
        <v>4.486001513349902E-2</v>
      </c>
      <c r="AP23" s="225">
        <f>Model!AP52</f>
        <v>5.0065282967898694E-2</v>
      </c>
      <c r="AQ23" s="225">
        <f>Model!AQ52</f>
        <v>9.6284266402008933E-2</v>
      </c>
      <c r="AR23" s="225">
        <f>Model!AR52</f>
        <v>8.8908424471794367E-2</v>
      </c>
      <c r="AS23" s="225">
        <f>Model!AS52</f>
        <v>9.2725606692087181E-2</v>
      </c>
      <c r="AT23" s="124">
        <f>Model!AT52</f>
        <v>9.2725606692087181E-2</v>
      </c>
      <c r="AU23" s="225">
        <f>Model!AU52</f>
        <v>6.3099372579285218E-2</v>
      </c>
      <c r="AV23" s="225">
        <f>Model!AV52</f>
        <v>1.4361351914846887E-2</v>
      </c>
      <c r="AW23" s="776">
        <f>Model!AW52</f>
        <v>1.2903490647363958E-2</v>
      </c>
      <c r="AX23" s="225">
        <f>Model!AX52</f>
        <v>1.1202120753083911E-2</v>
      </c>
      <c r="AY23" s="124">
        <f>Model!AY52</f>
        <v>1.1202120753083911E-2</v>
      </c>
      <c r="AZ23" s="225">
        <f>Model!AZ52</f>
        <v>1.5162970531297004E-2</v>
      </c>
      <c r="BA23" s="225">
        <f>Model!BA52</f>
        <v>3.1318051466511676E-2</v>
      </c>
      <c r="BB23" s="225">
        <f>Model!BB52</f>
        <v>4.0604010000000246E-2</v>
      </c>
      <c r="BC23" s="225">
        <f>Model!BC52</f>
        <v>4.0604010000000024E-2</v>
      </c>
      <c r="BD23" s="124">
        <f>Model!BD52</f>
        <v>4.0604010000000024E-2</v>
      </c>
      <c r="BE23" s="124">
        <f>Model!BE52</f>
        <v>0.03</v>
      </c>
      <c r="BF23" s="124">
        <f>Model!BF52</f>
        <v>0.03</v>
      </c>
      <c r="BG23" s="124">
        <f>Model!BG52</f>
        <v>0.03</v>
      </c>
      <c r="BH23" s="225"/>
    </row>
    <row r="24" spans="1:60" s="416" customFormat="1" x14ac:dyDescent="0.25">
      <c r="A24" s="777" t="str">
        <f>Model!A80</f>
        <v>Y/Y EMEA EOP paid streaming membership growth, %</v>
      </c>
      <c r="B24" s="775"/>
      <c r="C24" s="124">
        <f>Model!C80</f>
        <v>0</v>
      </c>
      <c r="D24" s="124">
        <f>Model!D80</f>
        <v>0</v>
      </c>
      <c r="E24" s="124">
        <f>Model!E80</f>
        <v>0</v>
      </c>
      <c r="F24" s="124">
        <f>Model!F80</f>
        <v>0</v>
      </c>
      <c r="G24" s="225">
        <f>Model!G80</f>
        <v>0</v>
      </c>
      <c r="H24" s="225">
        <f>Model!H80</f>
        <v>0</v>
      </c>
      <c r="I24" s="225">
        <f>Model!I80</f>
        <v>0</v>
      </c>
      <c r="J24" s="225">
        <f>Model!J80</f>
        <v>0</v>
      </c>
      <c r="K24" s="124">
        <f>Model!K80</f>
        <v>0</v>
      </c>
      <c r="L24" s="225">
        <f>Model!L80</f>
        <v>0</v>
      </c>
      <c r="M24" s="225">
        <f>Model!M80</f>
        <v>0</v>
      </c>
      <c r="N24" s="225">
        <f>Model!N80</f>
        <v>0</v>
      </c>
      <c r="O24" s="225">
        <f>Model!O80</f>
        <v>0</v>
      </c>
      <c r="P24" s="124">
        <f>Model!P80</f>
        <v>0</v>
      </c>
      <c r="Q24" s="225">
        <f>Model!Q80</f>
        <v>0</v>
      </c>
      <c r="R24" s="225">
        <f>Model!R80</f>
        <v>0</v>
      </c>
      <c r="S24" s="225">
        <f>Model!S80</f>
        <v>0</v>
      </c>
      <c r="T24" s="225">
        <f>Model!T80</f>
        <v>0</v>
      </c>
      <c r="U24" s="124">
        <f>Model!U80</f>
        <v>0</v>
      </c>
      <c r="V24" s="225">
        <f>Model!V80</f>
        <v>0</v>
      </c>
      <c r="W24" s="225">
        <f>Model!W80</f>
        <v>0</v>
      </c>
      <c r="X24" s="225">
        <f>Model!X80</f>
        <v>0</v>
      </c>
      <c r="Y24" s="225">
        <f>Model!Y80</f>
        <v>0</v>
      </c>
      <c r="Z24" s="124">
        <f>Model!Z80</f>
        <v>0</v>
      </c>
      <c r="AA24" s="225">
        <f>Model!AA80</f>
        <v>0</v>
      </c>
      <c r="AB24" s="225">
        <f>Model!AB80</f>
        <v>0</v>
      </c>
      <c r="AC24" s="225">
        <f>Model!AC80</f>
        <v>0</v>
      </c>
      <c r="AD24" s="225">
        <f>Model!AD80</f>
        <v>0</v>
      </c>
      <c r="AE24" s="124">
        <f>Model!AE80</f>
        <v>0</v>
      </c>
      <c r="AF24" s="225">
        <f>Model!AF80</f>
        <v>0.4893649423828621</v>
      </c>
      <c r="AG24" s="225">
        <f>Model!AG80</f>
        <v>0.48056921331316182</v>
      </c>
      <c r="AH24" s="225">
        <f>Model!AH80</f>
        <v>0.46254592608601697</v>
      </c>
      <c r="AI24" s="225">
        <f>Model!AI80</f>
        <v>0.45431472081218272</v>
      </c>
      <c r="AJ24" s="124">
        <f>Model!AJ80</f>
        <v>0.45431472081218272</v>
      </c>
      <c r="AK24" s="225">
        <f>Model!AK80</f>
        <v>0.45001533794607851</v>
      </c>
      <c r="AL24" s="225">
        <f>Model!AL80</f>
        <v>0.41230002873838489</v>
      </c>
      <c r="AM24" s="225">
        <f>Model!AM80</f>
        <v>0.39954486345903772</v>
      </c>
      <c r="AN24" s="225">
        <f>Model!AN80</f>
        <v>0.3691363900787985</v>
      </c>
      <c r="AO24" s="124">
        <f>Model!AO80</f>
        <v>0.3691363900787985</v>
      </c>
      <c r="AP24" s="225">
        <f>Model!AP80</f>
        <v>0.38061210098255849</v>
      </c>
      <c r="AQ24" s="225">
        <f>Model!AQ80</f>
        <v>0.39010603902416974</v>
      </c>
      <c r="AR24" s="225">
        <f>Model!AR80</f>
        <v>0.31437018266286554</v>
      </c>
      <c r="AS24" s="225">
        <f>Model!AS80</f>
        <v>0.28815326972845612</v>
      </c>
      <c r="AT24" s="124">
        <f>Model!AT80</f>
        <v>0.28815326972845612</v>
      </c>
      <c r="AU24" s="225">
        <f>Model!AU80</f>
        <v>0.16641127796506283</v>
      </c>
      <c r="AV24" s="225">
        <f>Model!AV80</f>
        <v>0.11731698192996443</v>
      </c>
      <c r="AW24" s="776">
        <f>Model!AW80</f>
        <v>0.13267568522862372</v>
      </c>
      <c r="AX24" s="225">
        <f>Model!AX80</f>
        <v>9.9283336831688995E-2</v>
      </c>
      <c r="AY24" s="124">
        <f>Model!AY80</f>
        <v>9.9283336831688995E-2</v>
      </c>
      <c r="AZ24" s="225">
        <f>Model!AZ80</f>
        <v>9.1644771413557535E-2</v>
      </c>
      <c r="BA24" s="225">
        <f>Model!BA80</f>
        <v>0.11043041807383247</v>
      </c>
      <c r="BB24" s="225">
        <f>Model!BB80</f>
        <v>0.1036563199999998</v>
      </c>
      <c r="BC24" s="225">
        <f>Model!BC80</f>
        <v>8.2432159999999977E-2</v>
      </c>
      <c r="BD24" s="124">
        <f>Model!BD80</f>
        <v>8.2432159999999977E-2</v>
      </c>
      <c r="BE24" s="124">
        <f>Model!BE80</f>
        <v>0.15</v>
      </c>
      <c r="BF24" s="124">
        <f>Model!BF80</f>
        <v>0.15</v>
      </c>
      <c r="BG24" s="124">
        <f>Model!BG80</f>
        <v>0.15</v>
      </c>
      <c r="BH24" s="225"/>
    </row>
    <row r="25" spans="1:60" s="416" customFormat="1" x14ac:dyDescent="0.25">
      <c r="A25" s="777" t="str">
        <f>Model!A100</f>
        <v>Y/Y Latin America EOP paid streaming membership growth, %</v>
      </c>
      <c r="B25" s="775"/>
      <c r="C25" s="124">
        <f>Model!C100</f>
        <v>0</v>
      </c>
      <c r="D25" s="124">
        <f>Model!D100</f>
        <v>0</v>
      </c>
      <c r="E25" s="124">
        <f>Model!E100</f>
        <v>0</v>
      </c>
      <c r="F25" s="124">
        <f>Model!F100</f>
        <v>0</v>
      </c>
      <c r="G25" s="225">
        <f>Model!G100</f>
        <v>0</v>
      </c>
      <c r="H25" s="225">
        <f>Model!H100</f>
        <v>0</v>
      </c>
      <c r="I25" s="225">
        <f>Model!I100</f>
        <v>0</v>
      </c>
      <c r="J25" s="225">
        <f>Model!J100</f>
        <v>0</v>
      </c>
      <c r="K25" s="124">
        <f>Model!K100</f>
        <v>0</v>
      </c>
      <c r="L25" s="225">
        <f>Model!L100</f>
        <v>0</v>
      </c>
      <c r="M25" s="225">
        <f>Model!M100</f>
        <v>0</v>
      </c>
      <c r="N25" s="225">
        <f>Model!N100</f>
        <v>0</v>
      </c>
      <c r="O25" s="225">
        <f>Model!O100</f>
        <v>0</v>
      </c>
      <c r="P25" s="124">
        <f>Model!P100</f>
        <v>0</v>
      </c>
      <c r="Q25" s="225">
        <f>Model!Q100</f>
        <v>0</v>
      </c>
      <c r="R25" s="225">
        <f>Model!R100</f>
        <v>0</v>
      </c>
      <c r="S25" s="225">
        <f>Model!S100</f>
        <v>0</v>
      </c>
      <c r="T25" s="225">
        <f>Model!T100</f>
        <v>0</v>
      </c>
      <c r="U25" s="124">
        <f>Model!U100</f>
        <v>0</v>
      </c>
      <c r="V25" s="225">
        <f>Model!V100</f>
        <v>0</v>
      </c>
      <c r="W25" s="225">
        <f>Model!W100</f>
        <v>0</v>
      </c>
      <c r="X25" s="225">
        <f>Model!X100</f>
        <v>0</v>
      </c>
      <c r="Y25" s="225">
        <f>Model!Y100</f>
        <v>0</v>
      </c>
      <c r="Z25" s="124">
        <f>Model!Z100</f>
        <v>0</v>
      </c>
      <c r="AA25" s="225">
        <f>Model!AA100</f>
        <v>0</v>
      </c>
      <c r="AB25" s="225">
        <f>Model!AB100</f>
        <v>0</v>
      </c>
      <c r="AC25" s="225">
        <f>Model!AC100</f>
        <v>0</v>
      </c>
      <c r="AD25" s="225">
        <f>Model!AD100</f>
        <v>0</v>
      </c>
      <c r="AE25" s="124">
        <f>Model!AE100</f>
        <v>0</v>
      </c>
      <c r="AF25" s="225">
        <f>Model!AF100</f>
        <v>0.37828200972447323</v>
      </c>
      <c r="AG25" s="225">
        <f>Model!AG100</f>
        <v>0.33985775583377409</v>
      </c>
      <c r="AH25" s="225">
        <f>Model!AH100</f>
        <v>0.32014014342803954</v>
      </c>
      <c r="AI25" s="225">
        <f>Model!AI100</f>
        <v>0.32256428462747877</v>
      </c>
      <c r="AJ25" s="124">
        <f>Model!AJ100</f>
        <v>0.32256428462747877</v>
      </c>
      <c r="AK25" s="225">
        <f>Model!AK100</f>
        <v>0.29571966133584193</v>
      </c>
      <c r="AL25" s="225">
        <f>Model!AL100</f>
        <v>0.22351392849309049</v>
      </c>
      <c r="AM25" s="225">
        <f>Model!AM100</f>
        <v>0.21832884097035032</v>
      </c>
      <c r="AN25" s="225">
        <f>Model!AN100</f>
        <v>0.20477815699658697</v>
      </c>
      <c r="AO25" s="124">
        <f>Model!AO100</f>
        <v>0.20477815699658697</v>
      </c>
      <c r="AP25" s="225">
        <f>Model!AP100</f>
        <v>0.24579809053617452</v>
      </c>
      <c r="AQ25" s="225">
        <f>Model!AQ100</f>
        <v>0.29322337755467909</v>
      </c>
      <c r="AR25" s="225">
        <f>Model!AR100</f>
        <v>0.23635125936010892</v>
      </c>
      <c r="AS25" s="225">
        <f>Model!AS100</f>
        <v>0.19479899417512803</v>
      </c>
      <c r="AT25" s="124">
        <f>Model!AT100</f>
        <v>0.19479899417512803</v>
      </c>
      <c r="AU25" s="225">
        <f>Model!AU100</f>
        <v>0.10420187656623336</v>
      </c>
      <c r="AV25" s="225">
        <f>Model!AV100</f>
        <v>7.1808805589442137E-2</v>
      </c>
      <c r="AW25" s="776">
        <f>Model!AW100</f>
        <v>7.3339940535183334E-2</v>
      </c>
      <c r="AX25" s="225">
        <f>Model!AX100</f>
        <v>6.9814849348642571E-2</v>
      </c>
      <c r="AY25" s="124">
        <f>Model!AY100</f>
        <v>6.9814849348642571E-2</v>
      </c>
      <c r="AZ25" s="225">
        <f>Model!AZ100</f>
        <v>7.0333467039636721E-2</v>
      </c>
      <c r="BA25" s="225">
        <f>Model!BA100</f>
        <v>5.9672216979667736E-2</v>
      </c>
      <c r="BB25" s="225">
        <f>Model!BB100</f>
        <v>6.1210030000000026E-2</v>
      </c>
      <c r="BC25" s="225">
        <f>Model!BC100</f>
        <v>4.0604010000000024E-2</v>
      </c>
      <c r="BD25" s="124">
        <f>Model!BD100</f>
        <v>4.0604010000000024E-2</v>
      </c>
      <c r="BE25" s="124">
        <f>Model!BE100</f>
        <v>0.06</v>
      </c>
      <c r="BF25" s="124">
        <f>Model!BF100</f>
        <v>0.06</v>
      </c>
      <c r="BG25" s="124">
        <f>Model!BG100</f>
        <v>0.06</v>
      </c>
      <c r="BH25" s="225"/>
    </row>
    <row r="26" spans="1:60" s="416" customFormat="1" x14ac:dyDescent="0.25">
      <c r="A26" s="787" t="str">
        <f>Model!A120</f>
        <v>Y/Y Asia Pacific EOP paid streaming membership growth, %</v>
      </c>
      <c r="B26" s="780"/>
      <c r="C26" s="361">
        <f>Model!C120</f>
        <v>0</v>
      </c>
      <c r="D26" s="361">
        <f>Model!D120</f>
        <v>0</v>
      </c>
      <c r="E26" s="361">
        <f>Model!E120</f>
        <v>0</v>
      </c>
      <c r="F26" s="361">
        <f>Model!F120</f>
        <v>0</v>
      </c>
      <c r="G26" s="781">
        <f>Model!G120</f>
        <v>0</v>
      </c>
      <c r="H26" s="781">
        <f>Model!H120</f>
        <v>0</v>
      </c>
      <c r="I26" s="781">
        <f>Model!I120</f>
        <v>0</v>
      </c>
      <c r="J26" s="781">
        <f>Model!J120</f>
        <v>0</v>
      </c>
      <c r="K26" s="361">
        <f>Model!K120</f>
        <v>0</v>
      </c>
      <c r="L26" s="781">
        <f>Model!L120</f>
        <v>0</v>
      </c>
      <c r="M26" s="781">
        <f>Model!M120</f>
        <v>0</v>
      </c>
      <c r="N26" s="781">
        <f>Model!N120</f>
        <v>0</v>
      </c>
      <c r="O26" s="781">
        <f>Model!O120</f>
        <v>0</v>
      </c>
      <c r="P26" s="361">
        <f>Model!P120</f>
        <v>0</v>
      </c>
      <c r="Q26" s="781">
        <f>Model!Q120</f>
        <v>0</v>
      </c>
      <c r="R26" s="781">
        <f>Model!R120</f>
        <v>0</v>
      </c>
      <c r="S26" s="781">
        <f>Model!S120</f>
        <v>0</v>
      </c>
      <c r="T26" s="781">
        <f>Model!T120</f>
        <v>0</v>
      </c>
      <c r="U26" s="361">
        <f>Model!U120</f>
        <v>0</v>
      </c>
      <c r="V26" s="781">
        <f>Model!V120</f>
        <v>0</v>
      </c>
      <c r="W26" s="781">
        <f>Model!W120</f>
        <v>0</v>
      </c>
      <c r="X26" s="781">
        <f>Model!X120</f>
        <v>0</v>
      </c>
      <c r="Y26" s="781">
        <f>Model!Y120</f>
        <v>0</v>
      </c>
      <c r="Z26" s="361">
        <f>Model!Z120</f>
        <v>0</v>
      </c>
      <c r="AA26" s="781">
        <f>Model!AA120</f>
        <v>0</v>
      </c>
      <c r="AB26" s="781">
        <f>Model!AB120</f>
        <v>0</v>
      </c>
      <c r="AC26" s="781">
        <f>Model!AC120</f>
        <v>0</v>
      </c>
      <c r="AD26" s="781">
        <f>Model!AD120</f>
        <v>0</v>
      </c>
      <c r="AE26" s="361">
        <f>Model!AE120</f>
        <v>0</v>
      </c>
      <c r="AF26" s="781">
        <f>Model!AF120</f>
        <v>0.58533447684391082</v>
      </c>
      <c r="AG26" s="781">
        <f>Model!AG120</f>
        <v>0.59345260753711448</v>
      </c>
      <c r="AH26" s="781">
        <f>Model!AH120</f>
        <v>0.61947963026360831</v>
      </c>
      <c r="AI26" s="781">
        <f>Model!AI120</f>
        <v>0.6315951392093524</v>
      </c>
      <c r="AJ26" s="361">
        <f>Model!AJ120</f>
        <v>0.6315951392093524</v>
      </c>
      <c r="AK26" s="781">
        <f>Model!AK120</f>
        <v>0.64200703272923998</v>
      </c>
      <c r="AL26" s="781">
        <f>Model!AL120</f>
        <v>0.54586717630195891</v>
      </c>
      <c r="AM26" s="781">
        <f>Model!AM120</f>
        <v>0.53102209068808803</v>
      </c>
      <c r="AN26" s="781">
        <f>Model!AN120</f>
        <v>0.53040444989158098</v>
      </c>
      <c r="AO26" s="361">
        <f>Model!AO120</f>
        <v>0.53040444989158098</v>
      </c>
      <c r="AP26" s="781">
        <f>Model!AP120</f>
        <v>0.63372045136314958</v>
      </c>
      <c r="AQ26" s="781">
        <f>Model!AQ120</f>
        <v>0.7379075876989647</v>
      </c>
      <c r="AR26" s="781">
        <f>Model!AR120</f>
        <v>0.62264411460131175</v>
      </c>
      <c r="AS26" s="781">
        <f>Model!AS120</f>
        <v>0.57038132199839842</v>
      </c>
      <c r="AT26" s="361">
        <f>Model!AT120</f>
        <v>0.57038132199839842</v>
      </c>
      <c r="AU26" s="781">
        <f>Model!AU120</f>
        <v>0.35381900680615064</v>
      </c>
      <c r="AV26" s="781">
        <f>Model!AV120</f>
        <v>0.23932953939178381</v>
      </c>
      <c r="AW26" s="782">
        <f>Model!AW120</f>
        <v>0.27854833219877473</v>
      </c>
      <c r="AX26" s="781">
        <f>Model!AX120</f>
        <v>0.3085128667817354</v>
      </c>
      <c r="AY26" s="361">
        <f>Model!AY120</f>
        <v>0.3085128667817354</v>
      </c>
      <c r="AZ26" s="781">
        <f>Model!AZ120</f>
        <v>0.3167246341190928</v>
      </c>
      <c r="BA26" s="781">
        <f>Model!BA120</f>
        <v>0.34455558730044844</v>
      </c>
      <c r="BB26" s="781">
        <f>Model!BB120</f>
        <v>0.32202775999999989</v>
      </c>
      <c r="BC26" s="781">
        <f>Model!BC120</f>
        <v>0.27438711999999987</v>
      </c>
      <c r="BD26" s="361">
        <f>Model!BD120</f>
        <v>0.2743871200000001</v>
      </c>
      <c r="BE26" s="361">
        <f>Model!BE120</f>
        <v>0.25</v>
      </c>
      <c r="BF26" s="361">
        <f>Model!BF120</f>
        <v>0.22</v>
      </c>
      <c r="BG26" s="361">
        <f>Model!BG120</f>
        <v>0.22</v>
      </c>
      <c r="BH26" s="225"/>
    </row>
    <row r="27" spans="1:60" s="735" customFormat="1" x14ac:dyDescent="0.25">
      <c r="A27" s="160" t="str">
        <f>Model!A11</f>
        <v>Y/Y Global EOP paid streaming memberships growth, %</v>
      </c>
      <c r="B27" s="784"/>
      <c r="C27" s="785">
        <f>Model!C11</f>
        <v>0</v>
      </c>
      <c r="D27" s="785">
        <f>Model!D11</f>
        <v>0</v>
      </c>
      <c r="E27" s="785">
        <f>Model!E11</f>
        <v>0</v>
      </c>
      <c r="F27" s="785">
        <f>Model!F11</f>
        <v>0</v>
      </c>
      <c r="G27" s="372">
        <f>Model!G11</f>
        <v>0</v>
      </c>
      <c r="H27" s="372">
        <f>Model!H11</f>
        <v>0</v>
      </c>
      <c r="I27" s="372">
        <f>Model!I11</f>
        <v>0</v>
      </c>
      <c r="J27" s="372">
        <f>Model!J11</f>
        <v>0</v>
      </c>
      <c r="K27" s="785">
        <f>Model!K11</f>
        <v>0.36462141422125605</v>
      </c>
      <c r="L27" s="372">
        <f>Model!L11</f>
        <v>0.34715570610909929</v>
      </c>
      <c r="M27" s="372">
        <f>Model!M11</f>
        <v>0.34665244963241482</v>
      </c>
      <c r="N27" s="372">
        <f>Model!N11</f>
        <v>0.33268436422952452</v>
      </c>
      <c r="O27" s="372">
        <f>Model!O11</f>
        <v>0.31476565139740309</v>
      </c>
      <c r="P27" s="785">
        <f>Model!P11</f>
        <v>0.31476565139740309</v>
      </c>
      <c r="Q27" s="372">
        <f>Model!Q11</f>
        <v>0.29235671551200904</v>
      </c>
      <c r="R27" s="372">
        <f>Model!R11</f>
        <v>0.30659276546091019</v>
      </c>
      <c r="S27" s="372">
        <f>Model!S11</f>
        <v>0.30333241205038108</v>
      </c>
      <c r="T27" s="372">
        <f>Model!T11</f>
        <v>0.30037080549232686</v>
      </c>
      <c r="U27" s="785">
        <f>Model!U11</f>
        <v>0.30037080549232686</v>
      </c>
      <c r="V27" s="372">
        <f>Model!V11</f>
        <v>0.30339321357285431</v>
      </c>
      <c r="W27" s="372">
        <f>Model!W11</f>
        <v>0.27413644627308398</v>
      </c>
      <c r="X27" s="372">
        <f>Model!X11</f>
        <v>0.26142474136233518</v>
      </c>
      <c r="Y27" s="372">
        <f>Model!Y11</f>
        <v>0.25764056522537016</v>
      </c>
      <c r="Z27" s="785">
        <f>Model!Z11</f>
        <v>0.25764056522537016</v>
      </c>
      <c r="AA27" s="372">
        <f>Model!AA11</f>
        <v>0.21434362412652663</v>
      </c>
      <c r="AB27" s="372">
        <f>Model!AB11</f>
        <v>0.23956142985881645</v>
      </c>
      <c r="AC27" s="372">
        <f>Model!AC11</f>
        <v>0.24910540598957698</v>
      </c>
      <c r="AD27" s="372">
        <f>Model!AD11</f>
        <v>0.24193512178695697</v>
      </c>
      <c r="AE27" s="785">
        <f>Model!AE11</f>
        <v>0.24193512178695697</v>
      </c>
      <c r="AF27" s="372">
        <f>Model!AF11</f>
        <v>0.26004895986774468</v>
      </c>
      <c r="AG27" s="372">
        <f>Model!AG11</f>
        <v>0.25564441213296174</v>
      </c>
      <c r="AH27" s="372">
        <f>Model!AH11</f>
        <v>0.25378041394691553</v>
      </c>
      <c r="AI27" s="372">
        <f>Model!AI11</f>
        <v>0.25862224793029909</v>
      </c>
      <c r="AJ27" s="785">
        <f>Model!AJ11</f>
        <v>0.25862224793029909</v>
      </c>
      <c r="AK27" s="372">
        <f>Model!AK11</f>
        <v>0.25198062269768373</v>
      </c>
      <c r="AL27" s="372">
        <f>Model!AL11</f>
        <v>0.21879473117069015</v>
      </c>
      <c r="AM27" s="372">
        <f>Model!AM11</f>
        <v>0.21401297327138069</v>
      </c>
      <c r="AN27" s="372">
        <f>Model!AN11</f>
        <v>0.19985063801980485</v>
      </c>
      <c r="AO27" s="785">
        <f>Model!AO11</f>
        <v>0.19985063801980485</v>
      </c>
      <c r="AP27" s="372">
        <f>Model!AP11</f>
        <v>0.2283508998206405</v>
      </c>
      <c r="AQ27" s="372">
        <f>Model!AQ11</f>
        <v>0.27305657090827506</v>
      </c>
      <c r="AR27" s="372">
        <f>Model!AR11</f>
        <v>0.23252744198971786</v>
      </c>
      <c r="AS27" s="372">
        <f>Model!AS11</f>
        <v>0.2188820396193667</v>
      </c>
      <c r="AT27" s="785">
        <f>Model!AT11</f>
        <v>0.2188820396193667</v>
      </c>
      <c r="AU27" s="372">
        <f>Model!AU11</f>
        <v>0.13553287833048966</v>
      </c>
      <c r="AV27" s="372">
        <f>Model!AV11</f>
        <v>8.4131911872172171E-2</v>
      </c>
      <c r="AW27" s="786">
        <f>Model!AW11</f>
        <v>9.434745402278244E-2</v>
      </c>
      <c r="AX27" s="372">
        <f>Model!AX11</f>
        <v>8.8064547806916194E-2</v>
      </c>
      <c r="AY27" s="785">
        <f>Model!AY11</f>
        <v>8.8064547806916194E-2</v>
      </c>
      <c r="AZ27" s="372">
        <f>Model!AZ11</f>
        <v>8.9465396192430102E-2</v>
      </c>
      <c r="BA27" s="372">
        <f>Model!BA11</f>
        <v>0.10428064243235502</v>
      </c>
      <c r="BB27" s="372">
        <f>Model!BB11</f>
        <v>0.1047801101391157</v>
      </c>
      <c r="BC27" s="372">
        <f>Model!BC11</f>
        <v>8.9634362069894946E-2</v>
      </c>
      <c r="BD27" s="785">
        <f>Model!BD11</f>
        <v>8.9634362069894946E-2</v>
      </c>
      <c r="BE27" s="785">
        <f>Model!BE11</f>
        <v>0.113364689185111</v>
      </c>
      <c r="BF27" s="785">
        <f>Model!BF11</f>
        <v>0.11323718945773131</v>
      </c>
      <c r="BG27" s="785">
        <f>Model!BG11</f>
        <v>0.11794775075385644</v>
      </c>
      <c r="BH27" s="372"/>
    </row>
    <row r="28" spans="1:60" s="416" customFormat="1" x14ac:dyDescent="0.25">
      <c r="A28" s="258"/>
      <c r="B28" s="775"/>
      <c r="C28" s="124"/>
      <c r="D28" s="124"/>
      <c r="E28" s="124"/>
      <c r="F28" s="124"/>
      <c r="G28" s="225"/>
      <c r="H28" s="225"/>
      <c r="I28" s="225"/>
      <c r="J28" s="225"/>
      <c r="K28" s="124"/>
      <c r="L28" s="225"/>
      <c r="M28" s="225"/>
      <c r="N28" s="225"/>
      <c r="O28" s="225"/>
      <c r="P28" s="124"/>
      <c r="Q28" s="225"/>
      <c r="R28" s="225"/>
      <c r="S28" s="225"/>
      <c r="T28" s="225"/>
      <c r="U28" s="124"/>
      <c r="V28" s="225"/>
      <c r="W28" s="225"/>
      <c r="X28" s="225"/>
      <c r="Y28" s="225"/>
      <c r="Z28" s="124"/>
      <c r="AA28" s="225"/>
      <c r="AB28" s="225"/>
      <c r="AC28" s="225"/>
      <c r="AD28" s="225"/>
      <c r="AE28" s="124"/>
      <c r="AF28" s="225"/>
      <c r="AG28" s="225"/>
      <c r="AH28" s="225"/>
      <c r="AI28" s="225"/>
      <c r="AJ28" s="124"/>
      <c r="AK28" s="225"/>
      <c r="AL28" s="225"/>
      <c r="AM28" s="225"/>
      <c r="AN28" s="225"/>
      <c r="AO28" s="124"/>
      <c r="AP28" s="225"/>
      <c r="AQ28" s="225"/>
      <c r="AR28" s="225"/>
      <c r="AS28" s="225"/>
      <c r="AT28" s="124"/>
      <c r="AU28" s="225"/>
      <c r="AV28" s="225"/>
      <c r="AW28" s="776"/>
      <c r="AX28" s="225"/>
      <c r="AY28" s="124"/>
      <c r="AZ28" s="225"/>
      <c r="BA28" s="225"/>
      <c r="BB28" s="225"/>
      <c r="BC28" s="225"/>
      <c r="BD28" s="124"/>
      <c r="BE28" s="124"/>
      <c r="BF28" s="124"/>
      <c r="BG28" s="124"/>
      <c r="BH28" s="225"/>
    </row>
    <row r="29" spans="1:60" s="416" customFormat="1" x14ac:dyDescent="0.25">
      <c r="A29" s="258" t="str">
        <f>Model!A17</f>
        <v>Q/Q Global streaming ARPU growth, %</v>
      </c>
      <c r="B29" s="775"/>
      <c r="C29" s="124">
        <f>Model!C17</f>
        <v>0</v>
      </c>
      <c r="D29" s="124">
        <f>Model!D17</f>
        <v>0</v>
      </c>
      <c r="E29" s="124">
        <f>Model!E17</f>
        <v>0</v>
      </c>
      <c r="F29" s="124">
        <f>Model!F17</f>
        <v>0</v>
      </c>
      <c r="G29" s="225">
        <f>Model!G17</f>
        <v>0</v>
      </c>
      <c r="H29" s="225">
        <f>Model!H17</f>
        <v>0</v>
      </c>
      <c r="I29" s="225">
        <f>Model!I17</f>
        <v>0</v>
      </c>
      <c r="J29" s="225">
        <f>Model!J17</f>
        <v>0</v>
      </c>
      <c r="K29" s="124">
        <f>Model!K17</f>
        <v>0</v>
      </c>
      <c r="L29" s="225">
        <f>Model!L17</f>
        <v>0</v>
      </c>
      <c r="M29" s="225">
        <f>Model!M17</f>
        <v>0</v>
      </c>
      <c r="N29" s="225">
        <f>Model!N17</f>
        <v>0</v>
      </c>
      <c r="O29" s="225">
        <f>Model!O17</f>
        <v>0</v>
      </c>
      <c r="P29" s="124">
        <f>Model!P17</f>
        <v>0</v>
      </c>
      <c r="Q29" s="225">
        <f>Model!Q17</f>
        <v>0</v>
      </c>
      <c r="R29" s="225">
        <f>Model!R17</f>
        <v>0</v>
      </c>
      <c r="S29" s="225">
        <f>Model!S17</f>
        <v>0</v>
      </c>
      <c r="T29" s="225">
        <f>Model!T17</f>
        <v>0</v>
      </c>
      <c r="U29" s="124">
        <f>Model!U17</f>
        <v>0</v>
      </c>
      <c r="V29" s="225">
        <f>Model!V17</f>
        <v>0</v>
      </c>
      <c r="W29" s="225">
        <f>Model!W17</f>
        <v>0</v>
      </c>
      <c r="X29" s="225">
        <f>Model!X17</f>
        <v>0</v>
      </c>
      <c r="Y29" s="225">
        <f>Model!Y17</f>
        <v>0</v>
      </c>
      <c r="Z29" s="124">
        <f>Model!Z17</f>
        <v>0</v>
      </c>
      <c r="AA29" s="225">
        <f>Model!AA17</f>
        <v>0</v>
      </c>
      <c r="AB29" s="225">
        <f>Model!AB17</f>
        <v>6.8107788812281633E-3</v>
      </c>
      <c r="AC29" s="225">
        <f>Model!AC17</f>
        <v>2.5148318950886095E-2</v>
      </c>
      <c r="AD29" s="225">
        <f>Model!AD17</f>
        <v>4.6603542867582393E-2</v>
      </c>
      <c r="AE29" s="124">
        <f>Model!AE17</f>
        <v>0</v>
      </c>
      <c r="AF29" s="225">
        <f>Model!AF17</f>
        <v>5.9113397233789833E-2</v>
      </c>
      <c r="AG29" s="225">
        <f>Model!AG17</f>
        <v>-7.5458873449152364E-4</v>
      </c>
      <c r="AH29" s="225">
        <f>Model!AH17</f>
        <v>-2.1128359629266291E-2</v>
      </c>
      <c r="AI29" s="225">
        <f>Model!AI17</f>
        <v>-9.105767055724745E-3</v>
      </c>
      <c r="AJ29" s="124">
        <f>Model!AJ17</f>
        <v>0</v>
      </c>
      <c r="AK29" s="225">
        <f>Model!AK17</f>
        <v>1.3268251249220375E-2</v>
      </c>
      <c r="AL29" s="225">
        <f>Model!AL17</f>
        <v>4.6870928247759958E-2</v>
      </c>
      <c r="AM29" s="225">
        <f>Model!AM17</f>
        <v>3.4664230179086264E-2</v>
      </c>
      <c r="AN29" s="225">
        <f>Model!AN17</f>
        <v>-6.1211654325149523E-3</v>
      </c>
      <c r="AO29" s="124">
        <f>Model!AO17</f>
        <v>0</v>
      </c>
      <c r="AP29" s="225">
        <f>Model!AP17</f>
        <v>-1.7646765306436274E-2</v>
      </c>
      <c r="AQ29" s="225">
        <f>Model!AQ17</f>
        <v>-6.2142974739122225E-3</v>
      </c>
      <c r="AR29" s="225">
        <f>Model!AR17</f>
        <v>1.4469212267186116E-2</v>
      </c>
      <c r="AS29" s="225">
        <f>Model!AS17</f>
        <v>5.6337665273973325E-3</v>
      </c>
      <c r="AT29" s="124">
        <f>Model!AT17</f>
        <v>0</v>
      </c>
      <c r="AU29" s="225">
        <f>Model!AU17</f>
        <v>4.6727680134812211E-2</v>
      </c>
      <c r="AV29" s="225">
        <f>Model!AV17</f>
        <v>1.1979021001992773E-2</v>
      </c>
      <c r="AW29" s="776">
        <f>Model!AW17</f>
        <v>5.4146090349864728E-3</v>
      </c>
      <c r="AX29" s="225">
        <f>Model!AX17</f>
        <v>3.0724901522123371E-3</v>
      </c>
      <c r="AY29" s="124">
        <f>Model!AY17</f>
        <v>0</v>
      </c>
      <c r="AZ29" s="225">
        <f>Model!AZ17</f>
        <v>6.7482049599276728E-3</v>
      </c>
      <c r="BA29" s="225">
        <f>Model!BA17</f>
        <v>7.8811139190371193E-3</v>
      </c>
      <c r="BB29" s="225">
        <f>Model!BB17</f>
        <v>7.7916009629790395E-3</v>
      </c>
      <c r="BC29" s="225">
        <f>Model!BC17</f>
        <v>7.5312513564578243E-3</v>
      </c>
      <c r="BD29" s="124">
        <f>Model!BD17</f>
        <v>0</v>
      </c>
      <c r="BE29" s="124">
        <f>Model!BE17</f>
        <v>0</v>
      </c>
      <c r="BF29" s="124">
        <f>Model!BF17</f>
        <v>0</v>
      </c>
      <c r="BG29" s="124">
        <f>Model!BG17</f>
        <v>0</v>
      </c>
      <c r="BH29" s="225"/>
    </row>
    <row r="30" spans="1:60" s="416" customFormat="1" x14ac:dyDescent="0.25">
      <c r="A30" s="258" t="str">
        <f>Model!A18</f>
        <v>Y/Y Global streaming constant currency ARPU growth, %</v>
      </c>
      <c r="B30" s="775"/>
      <c r="C30" s="124">
        <f>Model!C18</f>
        <v>0</v>
      </c>
      <c r="D30" s="124">
        <f>Model!D18</f>
        <v>0</v>
      </c>
      <c r="E30" s="124">
        <f>Model!E18</f>
        <v>0</v>
      </c>
      <c r="F30" s="124">
        <f>Model!F18</f>
        <v>0</v>
      </c>
      <c r="G30" s="225">
        <f>Model!G18</f>
        <v>0</v>
      </c>
      <c r="H30" s="225">
        <f>Model!H18</f>
        <v>0</v>
      </c>
      <c r="I30" s="225">
        <f>Model!I18</f>
        <v>0</v>
      </c>
      <c r="J30" s="225">
        <f>Model!J18</f>
        <v>0</v>
      </c>
      <c r="K30" s="124">
        <f>Model!K18</f>
        <v>0</v>
      </c>
      <c r="L30" s="225">
        <f>Model!L18</f>
        <v>0</v>
      </c>
      <c r="M30" s="225">
        <f>Model!M18</f>
        <v>0</v>
      </c>
      <c r="N30" s="225">
        <f>Model!N18</f>
        <v>0</v>
      </c>
      <c r="O30" s="225">
        <f>Model!O18</f>
        <v>0</v>
      </c>
      <c r="P30" s="124">
        <f>Model!P18</f>
        <v>0</v>
      </c>
      <c r="Q30" s="225">
        <f>Model!Q18</f>
        <v>0</v>
      </c>
      <c r="R30" s="225">
        <f>Model!R18</f>
        <v>0</v>
      </c>
      <c r="S30" s="225">
        <f>Model!S18</f>
        <v>0</v>
      </c>
      <c r="T30" s="225">
        <f>Model!T18</f>
        <v>0</v>
      </c>
      <c r="U30" s="124">
        <f>Model!U18</f>
        <v>0</v>
      </c>
      <c r="V30" s="225">
        <f>Model!V18</f>
        <v>0</v>
      </c>
      <c r="W30" s="225">
        <f>Model!W18</f>
        <v>0</v>
      </c>
      <c r="X30" s="225">
        <f>Model!X18</f>
        <v>0</v>
      </c>
      <c r="Y30" s="225">
        <f>Model!Y18</f>
        <v>0</v>
      </c>
      <c r="Z30" s="124">
        <f>Model!Z18</f>
        <v>0</v>
      </c>
      <c r="AA30" s="225">
        <f>Model!AA18</f>
        <v>0</v>
      </c>
      <c r="AB30" s="225">
        <f>Model!AB18</f>
        <v>0</v>
      </c>
      <c r="AC30" s="225">
        <f>Model!AC18</f>
        <v>0</v>
      </c>
      <c r="AD30" s="225">
        <f>Model!AD18</f>
        <v>0</v>
      </c>
      <c r="AE30" s="124">
        <f>Model!AE18</f>
        <v>0</v>
      </c>
      <c r="AF30" s="225">
        <f>Model!AF18</f>
        <v>0</v>
      </c>
      <c r="AG30" s="225">
        <f>Model!AG18</f>
        <v>0</v>
      </c>
      <c r="AH30" s="225">
        <f>Model!AH18</f>
        <v>0</v>
      </c>
      <c r="AI30" s="225">
        <f>Model!AI18</f>
        <v>0</v>
      </c>
      <c r="AJ30" s="124">
        <f>Model!AJ18</f>
        <v>0</v>
      </c>
      <c r="AK30" s="225">
        <f>Model!AK18</f>
        <v>0.03</v>
      </c>
      <c r="AL30" s="225">
        <f>Model!AL18</f>
        <v>0.09</v>
      </c>
      <c r="AM30" s="225">
        <f>Model!AM18</f>
        <v>0.12</v>
      </c>
      <c r="AN30" s="225">
        <f>Model!AN18</f>
        <v>0.12</v>
      </c>
      <c r="AO30" s="124">
        <f>Model!AO18</f>
        <v>0</v>
      </c>
      <c r="AP30" s="225">
        <f>Model!AP18</f>
        <v>0.08</v>
      </c>
      <c r="AQ30" s="225">
        <f>Model!AQ18</f>
        <v>0.05</v>
      </c>
      <c r="AR30" s="225">
        <f>Model!AR18</f>
        <v>0.01</v>
      </c>
      <c r="AS30" s="225">
        <f>Model!AS18</f>
        <v>0</v>
      </c>
      <c r="AT30" s="124">
        <f>Model!AT18</f>
        <v>0</v>
      </c>
      <c r="AU30" s="225">
        <f>Model!AU18</f>
        <v>0.05</v>
      </c>
      <c r="AV30" s="225">
        <f>Model!AV18</f>
        <v>0.04</v>
      </c>
      <c r="AW30" s="776">
        <f>Model!AW18</f>
        <v>0.05</v>
      </c>
      <c r="AX30" s="225">
        <f>Model!AX18</f>
        <v>0</v>
      </c>
      <c r="AY30" s="124">
        <f>Model!AY18</f>
        <v>0</v>
      </c>
      <c r="AZ30" s="225">
        <f>Model!AZ18</f>
        <v>0</v>
      </c>
      <c r="BA30" s="225">
        <f>Model!BA18</f>
        <v>0</v>
      </c>
      <c r="BB30" s="225">
        <f>Model!BB18</f>
        <v>0</v>
      </c>
      <c r="BC30" s="225">
        <f>Model!BC18</f>
        <v>0</v>
      </c>
      <c r="BD30" s="124">
        <f>Model!BD18</f>
        <v>0</v>
      </c>
      <c r="BE30" s="124">
        <f>Model!BE18</f>
        <v>0</v>
      </c>
      <c r="BF30" s="124">
        <f>Model!BF18</f>
        <v>0</v>
      </c>
      <c r="BG30" s="124">
        <f>Model!BG18</f>
        <v>0</v>
      </c>
      <c r="BH30" s="225"/>
    </row>
    <row r="31" spans="1:60" s="735" customFormat="1" x14ac:dyDescent="0.25">
      <c r="A31" s="160" t="str">
        <f>Model!A19</f>
        <v>Y/Y Global streaming ARPU growth, %</v>
      </c>
      <c r="B31" s="784"/>
      <c r="C31" s="785">
        <f>Model!C19</f>
        <v>0</v>
      </c>
      <c r="D31" s="785">
        <f>Model!D19</f>
        <v>0</v>
      </c>
      <c r="E31" s="785">
        <f>Model!E19</f>
        <v>0</v>
      </c>
      <c r="F31" s="785">
        <f>Model!F19</f>
        <v>0</v>
      </c>
      <c r="G31" s="372">
        <f>Model!G19</f>
        <v>0</v>
      </c>
      <c r="H31" s="372">
        <f>Model!H19</f>
        <v>0</v>
      </c>
      <c r="I31" s="372">
        <f>Model!I19</f>
        <v>0</v>
      </c>
      <c r="J31" s="372">
        <f>Model!J19</f>
        <v>0</v>
      </c>
      <c r="K31" s="785">
        <f>Model!K19</f>
        <v>0</v>
      </c>
      <c r="L31" s="372">
        <f>Model!L19</f>
        <v>0</v>
      </c>
      <c r="M31" s="372">
        <f>Model!M19</f>
        <v>0</v>
      </c>
      <c r="N31" s="372">
        <f>Model!N19</f>
        <v>0</v>
      </c>
      <c r="O31" s="372">
        <f>Model!O19</f>
        <v>0</v>
      </c>
      <c r="P31" s="785">
        <f>Model!P19</f>
        <v>0</v>
      </c>
      <c r="Q31" s="372">
        <f>Model!Q19</f>
        <v>0</v>
      </c>
      <c r="R31" s="372">
        <f>Model!R19</f>
        <v>0</v>
      </c>
      <c r="S31" s="372">
        <f>Model!S19</f>
        <v>0</v>
      </c>
      <c r="T31" s="372">
        <f>Model!T19</f>
        <v>0</v>
      </c>
      <c r="U31" s="785">
        <f>Model!U19</f>
        <v>0</v>
      </c>
      <c r="V31" s="372">
        <f>Model!V19</f>
        <v>0</v>
      </c>
      <c r="W31" s="372">
        <f>Model!W19</f>
        <v>0</v>
      </c>
      <c r="X31" s="372">
        <f>Model!X19</f>
        <v>0</v>
      </c>
      <c r="Y31" s="372">
        <f>Model!Y19</f>
        <v>0</v>
      </c>
      <c r="Z31" s="785">
        <f>Model!Z19</f>
        <v>0</v>
      </c>
      <c r="AA31" s="372">
        <f>Model!AA19</f>
        <v>0</v>
      </c>
      <c r="AB31" s="372">
        <f>Model!AB19</f>
        <v>0</v>
      </c>
      <c r="AC31" s="372">
        <f>Model!AC19</f>
        <v>0</v>
      </c>
      <c r="AD31" s="372">
        <f>Model!AD19</f>
        <v>0</v>
      </c>
      <c r="AE31" s="785">
        <f>Model!AE19</f>
        <v>0</v>
      </c>
      <c r="AF31" s="372">
        <f>Model!AF19</f>
        <v>0.14408745228156761</v>
      </c>
      <c r="AG31" s="372">
        <f>Model!AG19</f>
        <v>0.13549056164173923</v>
      </c>
      <c r="AH31" s="372">
        <f>Model!AH19</f>
        <v>8.4232874553429538E-2</v>
      </c>
      <c r="AI31" s="372">
        <f>Model!AI19</f>
        <v>2.6520605519789076E-2</v>
      </c>
      <c r="AJ31" s="785">
        <f>Model!AJ19</f>
        <v>9.6157301128330763E-2</v>
      </c>
      <c r="AK31" s="372">
        <f>Model!AK19</f>
        <v>-1.7913717697288667E-2</v>
      </c>
      <c r="AL31" s="372">
        <f>Model!AL19</f>
        <v>2.8893969772207484E-2</v>
      </c>
      <c r="AM31" s="372">
        <f>Model!AM19</f>
        <v>8.7537674262458065E-2</v>
      </c>
      <c r="AN31" s="372">
        <f>Model!AN19</f>
        <v>9.0813368680681572E-2</v>
      </c>
      <c r="AO31" s="785">
        <f>Model!AO19</f>
        <v>4.6774546093560909E-2</v>
      </c>
      <c r="AP31" s="372">
        <f>Model!AP19</f>
        <v>5.7532435117116698E-2</v>
      </c>
      <c r="AQ31" s="372">
        <f>Model!AQ19</f>
        <v>3.9065806670870451E-3</v>
      </c>
      <c r="AR31" s="372">
        <f>Model!AR19</f>
        <v>-1.5688096318061229E-2</v>
      </c>
      <c r="AS31" s="372">
        <f>Model!AS19</f>
        <v>-4.0463155972270126E-3</v>
      </c>
      <c r="AT31" s="785">
        <f>Model!AT19</f>
        <v>9.5739558992249396E-3</v>
      </c>
      <c r="AU31" s="372">
        <f>Model!AU19</f>
        <v>6.1219378914988409E-2</v>
      </c>
      <c r="AV31" s="372">
        <f>Model!AV19</f>
        <v>8.0647211378592987E-2</v>
      </c>
      <c r="AW31" s="786">
        <f>Model!AW19</f>
        <v>7.1001939137015135E-2</v>
      </c>
      <c r="AX31" s="372">
        <f>Model!AX19</f>
        <v>6.8274174760167394E-2</v>
      </c>
      <c r="AY31" s="785">
        <f>Model!AY19</f>
        <v>7.0264163463454876E-2</v>
      </c>
      <c r="AZ31" s="372">
        <f>Model!AZ19</f>
        <v>2.7471737163128118E-2</v>
      </c>
      <c r="BA31" s="372">
        <f>Model!BA19</f>
        <v>2.3311093887056433E-2</v>
      </c>
      <c r="BB31" s="372">
        <f>Model!BB19</f>
        <v>2.573039651916087E-2</v>
      </c>
      <c r="BC31" s="372">
        <f>Model!BC19</f>
        <v>3.0289874466084665E-2</v>
      </c>
      <c r="BD31" s="785">
        <f>Model!BD19</f>
        <v>2.6704808530723989E-2</v>
      </c>
      <c r="BE31" s="785">
        <f>Model!BE19</f>
        <v>2.4052738407250862E-2</v>
      </c>
      <c r="BF31" s="785">
        <f>Model!BF19</f>
        <v>2.3392706501287552E-2</v>
      </c>
      <c r="BG31" s="785">
        <f>Model!BG19</f>
        <v>2.3241598643736427E-2</v>
      </c>
      <c r="BH31" s="372"/>
    </row>
    <row r="32" spans="1:60" s="57" customFormat="1" x14ac:dyDescent="0.25">
      <c r="A32" s="64"/>
      <c r="B32" s="153"/>
      <c r="C32" s="56"/>
      <c r="D32" s="56"/>
      <c r="E32" s="56"/>
      <c r="F32" s="56"/>
      <c r="G32" s="80"/>
      <c r="H32" s="80"/>
      <c r="I32" s="80"/>
      <c r="J32" s="80"/>
      <c r="K32" s="56"/>
      <c r="L32" s="80"/>
      <c r="M32" s="80"/>
      <c r="N32" s="80"/>
      <c r="O32" s="80"/>
      <c r="P32" s="56"/>
      <c r="Q32" s="80"/>
      <c r="R32" s="80"/>
      <c r="S32" s="80"/>
      <c r="T32" s="80"/>
      <c r="U32" s="56"/>
      <c r="V32" s="80"/>
      <c r="W32" s="80"/>
      <c r="X32" s="80"/>
      <c r="Y32" s="80"/>
      <c r="Z32" s="56"/>
      <c r="AA32" s="80"/>
      <c r="AB32" s="80"/>
      <c r="AC32" s="80"/>
      <c r="AD32" s="80"/>
      <c r="AE32" s="56"/>
      <c r="AF32" s="80"/>
      <c r="AG32" s="80"/>
      <c r="AH32" s="80"/>
      <c r="AI32" s="80"/>
      <c r="AJ32" s="56"/>
      <c r="AK32" s="80"/>
      <c r="AL32" s="80"/>
      <c r="AM32" s="80"/>
      <c r="AN32" s="80"/>
      <c r="AO32" s="56"/>
      <c r="AP32" s="80"/>
      <c r="AQ32" s="80"/>
      <c r="AR32" s="80"/>
      <c r="AS32" s="80"/>
      <c r="AT32" s="56"/>
      <c r="AU32" s="80"/>
      <c r="AV32" s="80"/>
      <c r="AW32" s="577"/>
      <c r="AX32" s="80"/>
      <c r="AY32" s="56"/>
      <c r="AZ32" s="80"/>
      <c r="BA32" s="80"/>
      <c r="BB32" s="80"/>
      <c r="BC32" s="80"/>
      <c r="BD32" s="56"/>
      <c r="BE32" s="56"/>
      <c r="BF32" s="56"/>
      <c r="BG32" s="56"/>
      <c r="BH32" s="80"/>
    </row>
    <row r="33" spans="1:60" customFormat="1" x14ac:dyDescent="0.25">
      <c r="A33" s="155" t="s">
        <v>333</v>
      </c>
      <c r="B33" s="840"/>
      <c r="C33" s="959"/>
      <c r="D33" s="959"/>
      <c r="E33" s="959"/>
      <c r="F33" s="959"/>
      <c r="G33" s="959"/>
      <c r="H33" s="959"/>
      <c r="I33" s="959"/>
      <c r="J33" s="959"/>
      <c r="K33" s="959"/>
      <c r="L33" s="959"/>
      <c r="M33" s="959"/>
      <c r="N33" s="959"/>
      <c r="O33" s="959"/>
      <c r="P33" s="959"/>
      <c r="Q33" s="959"/>
      <c r="R33" s="959"/>
      <c r="S33" s="959"/>
      <c r="T33" s="959"/>
      <c r="U33" s="959"/>
      <c r="V33" s="959"/>
      <c r="W33" s="959"/>
      <c r="X33" s="959"/>
      <c r="Y33" s="959"/>
      <c r="Z33" s="959"/>
      <c r="AA33" s="959"/>
      <c r="AB33" s="959"/>
      <c r="AC33" s="959"/>
      <c r="AD33" s="959"/>
      <c r="AE33" s="959"/>
      <c r="AF33" s="959"/>
      <c r="AG33" s="959"/>
      <c r="AH33" s="959"/>
      <c r="AI33" s="959"/>
      <c r="AJ33" s="959"/>
      <c r="AK33" s="959"/>
      <c r="AL33" s="959"/>
      <c r="AM33" s="959"/>
      <c r="AN33" s="959"/>
      <c r="AO33" s="959"/>
      <c r="AP33" s="959"/>
      <c r="AQ33" s="959"/>
      <c r="AR33" s="959"/>
      <c r="AS33" s="959"/>
      <c r="AT33" s="959"/>
      <c r="AU33" s="959"/>
      <c r="AV33" s="959"/>
      <c r="AW33" s="960"/>
      <c r="AX33" s="959"/>
      <c r="AY33" s="959"/>
      <c r="AZ33" s="959"/>
      <c r="BA33" s="959"/>
      <c r="BB33" s="959"/>
      <c r="BC33" s="959"/>
      <c r="BD33" s="959"/>
      <c r="BE33" s="959"/>
      <c r="BF33" s="959"/>
      <c r="BG33" s="959"/>
      <c r="BH33" s="239"/>
    </row>
    <row r="34" spans="1:60" customFormat="1" x14ac:dyDescent="0.25">
      <c r="A34" s="249" t="str">
        <f>INDEX(MO_RIS_REV,0,COLUMN())</f>
        <v>Net Revenue</v>
      </c>
      <c r="B34" s="254"/>
      <c r="C34" s="956">
        <f t="shared" ref="C34:AH34" si="30">INDEX(MO_RIS_REV,0,COLUMN())</f>
        <v>1670.269</v>
      </c>
      <c r="D34" s="956">
        <f t="shared" si="30"/>
        <v>2162.625</v>
      </c>
      <c r="E34" s="956">
        <f t="shared" si="30"/>
        <v>3204.5770000000002</v>
      </c>
      <c r="F34" s="956">
        <f t="shared" si="30"/>
        <v>3609.2820000000002</v>
      </c>
      <c r="G34" s="957">
        <f t="shared" si="30"/>
        <v>1023.961</v>
      </c>
      <c r="H34" s="957">
        <f t="shared" si="30"/>
        <v>1069.3720000000001</v>
      </c>
      <c r="I34" s="957">
        <f t="shared" si="30"/>
        <v>1105.999</v>
      </c>
      <c r="J34" s="957">
        <f t="shared" si="30"/>
        <v>1175.2299999999993</v>
      </c>
      <c r="K34" s="956">
        <f t="shared" si="30"/>
        <v>4374.5619999999999</v>
      </c>
      <c r="L34" s="957">
        <f t="shared" si="30"/>
        <v>1270.0889999999999</v>
      </c>
      <c r="M34" s="957">
        <f t="shared" si="30"/>
        <v>1340.4069999999999</v>
      </c>
      <c r="N34" s="957">
        <f t="shared" si="30"/>
        <v>1409.432</v>
      </c>
      <c r="O34" s="957">
        <f t="shared" si="30"/>
        <v>1484.7279999999998</v>
      </c>
      <c r="P34" s="956">
        <f t="shared" si="30"/>
        <v>5504.6559999999999</v>
      </c>
      <c r="Q34" s="957">
        <f t="shared" si="30"/>
        <v>1573.1289999999999</v>
      </c>
      <c r="R34" s="957">
        <f t="shared" si="30"/>
        <v>1644.694</v>
      </c>
      <c r="S34" s="957">
        <f t="shared" si="30"/>
        <v>1738.355</v>
      </c>
      <c r="T34" s="957">
        <f t="shared" si="30"/>
        <v>1823.3330000000005</v>
      </c>
      <c r="U34" s="956">
        <f t="shared" si="30"/>
        <v>6779.5110000000004</v>
      </c>
      <c r="V34" s="957">
        <f t="shared" si="30"/>
        <v>1957.7360000000001</v>
      </c>
      <c r="W34" s="957">
        <f t="shared" si="30"/>
        <v>2105.2040000000002</v>
      </c>
      <c r="X34" s="957">
        <f t="shared" si="30"/>
        <v>2290.1880000000001</v>
      </c>
      <c r="Y34" s="957">
        <f t="shared" si="30"/>
        <v>2477.5409999999993</v>
      </c>
      <c r="Z34" s="956">
        <f t="shared" si="30"/>
        <v>8830.6689999999999</v>
      </c>
      <c r="AA34" s="957">
        <f t="shared" si="30"/>
        <v>2636.6350000000002</v>
      </c>
      <c r="AB34" s="957">
        <f t="shared" si="30"/>
        <v>2785.4639999999999</v>
      </c>
      <c r="AC34" s="957">
        <f t="shared" si="30"/>
        <v>2984.8589999999999</v>
      </c>
      <c r="AD34" s="957">
        <f t="shared" si="30"/>
        <v>3285.7549999999997</v>
      </c>
      <c r="AE34" s="956">
        <f t="shared" si="30"/>
        <v>11692.713</v>
      </c>
      <c r="AF34" s="957">
        <f t="shared" si="30"/>
        <v>3700.8560000000002</v>
      </c>
      <c r="AG34" s="957">
        <f t="shared" si="30"/>
        <v>3907.27</v>
      </c>
      <c r="AH34" s="957">
        <f t="shared" si="30"/>
        <v>3999.3739999999998</v>
      </c>
      <c r="AI34" s="957">
        <f t="shared" ref="AI34:AY34" si="31">INDEX(MO_RIS_REV,0,COLUMN())</f>
        <v>4186.8410000000003</v>
      </c>
      <c r="AJ34" s="956">
        <f t="shared" si="31"/>
        <v>15794.341</v>
      </c>
      <c r="AK34" s="957">
        <f t="shared" si="31"/>
        <v>4520.9920000000002</v>
      </c>
      <c r="AL34" s="957">
        <f t="shared" si="31"/>
        <v>4923.116</v>
      </c>
      <c r="AM34" s="957">
        <f t="shared" si="31"/>
        <v>5244.9049999999997</v>
      </c>
      <c r="AN34" s="957">
        <f t="shared" si="31"/>
        <v>5467.4340000000002</v>
      </c>
      <c r="AO34" s="956">
        <f t="shared" si="31"/>
        <v>20156.447</v>
      </c>
      <c r="AP34" s="957">
        <f t="shared" si="31"/>
        <v>5767.6909999999998</v>
      </c>
      <c r="AQ34" s="957">
        <f t="shared" si="31"/>
        <v>6148.2860000000001</v>
      </c>
      <c r="AR34" s="957">
        <f>INDEX(MO_RIS_REV,0,COLUMN())</f>
        <v>6435.6369999999997</v>
      </c>
      <c r="AS34" s="957">
        <f>INDEX(MO_RIS_REV,0,COLUMN())</f>
        <v>6644.4420000000018</v>
      </c>
      <c r="AT34" s="956">
        <f>INDEX(MO_RIS_REV,0,COLUMN())</f>
        <v>24996.056</v>
      </c>
      <c r="AU34" s="957">
        <f t="shared" si="31"/>
        <v>7163.2820000000002</v>
      </c>
      <c r="AV34" s="957">
        <f>INDEX(MO_RIS_REV,0,COLUMN())</f>
        <v>7341.777</v>
      </c>
      <c r="AW34" s="958">
        <f>INDEX(MO_RIS_REV,0,COLUMN())</f>
        <v>7483.4669999999996</v>
      </c>
      <c r="AX34" s="957">
        <f t="shared" si="31"/>
        <v>7723.3186424640007</v>
      </c>
      <c r="AY34" s="956">
        <f t="shared" si="31"/>
        <v>29711.844642464002</v>
      </c>
      <c r="AZ34" s="957">
        <f t="shared" ref="AZ34:BG34" si="32">INDEX(MO_RIS_REV,0,COLUMN())</f>
        <v>7997.8967346311483</v>
      </c>
      <c r="BA34" s="957">
        <f t="shared" si="32"/>
        <v>8226.8890415095739</v>
      </c>
      <c r="BB34" s="957">
        <f t="shared" si="32"/>
        <v>8464.3311244111865</v>
      </c>
      <c r="BC34" s="957">
        <f t="shared" si="32"/>
        <v>8716.3775618686177</v>
      </c>
      <c r="BD34" s="956">
        <f t="shared" si="32"/>
        <v>33405.494462420524</v>
      </c>
      <c r="BE34" s="956">
        <f t="shared" si="32"/>
        <v>37700.702939391864</v>
      </c>
      <c r="BF34" s="956">
        <f t="shared" si="32"/>
        <v>42913.736107439145</v>
      </c>
      <c r="BG34" s="956">
        <f t="shared" si="32"/>
        <v>48960.074611789147</v>
      </c>
      <c r="BH34" s="839"/>
    </row>
    <row r="35" spans="1:60" customFormat="1" x14ac:dyDescent="0.25">
      <c r="A35" s="250" t="str">
        <f>INDEX(MO_RIS_COGS,0,COLUMN())</f>
        <v>COGS</v>
      </c>
      <c r="B35" s="251"/>
      <c r="C35" s="961">
        <f t="shared" ref="C35:AH35" si="33">INDEX(MO_RIS_COGS,0,COLUMN())</f>
        <v>1079.271</v>
      </c>
      <c r="D35" s="961">
        <f t="shared" si="33"/>
        <v>1357.355</v>
      </c>
      <c r="E35" s="961">
        <f t="shared" si="33"/>
        <v>2039.9010000000001</v>
      </c>
      <c r="F35" s="961">
        <f t="shared" si="33"/>
        <v>2652.058</v>
      </c>
      <c r="G35" s="962">
        <f t="shared" si="33"/>
        <v>736.952</v>
      </c>
      <c r="H35" s="962">
        <f t="shared" si="33"/>
        <v>760.67399999999998</v>
      </c>
      <c r="I35" s="962">
        <f t="shared" si="33"/>
        <v>798.9</v>
      </c>
      <c r="J35" s="962">
        <f t="shared" si="33"/>
        <v>820.67700000000025</v>
      </c>
      <c r="K35" s="961">
        <f t="shared" si="33"/>
        <v>3117.203</v>
      </c>
      <c r="L35" s="962">
        <f t="shared" si="33"/>
        <v>869.18600000000004</v>
      </c>
      <c r="M35" s="962">
        <f t="shared" si="33"/>
        <v>914.84799999999996</v>
      </c>
      <c r="N35" s="962">
        <f t="shared" si="33"/>
        <v>954.39400000000001</v>
      </c>
      <c r="O35" s="962">
        <f t="shared" si="33"/>
        <v>1014.3320000000001</v>
      </c>
      <c r="P35" s="961">
        <f t="shared" si="33"/>
        <v>3752.76</v>
      </c>
      <c r="Q35" s="962">
        <f t="shared" si="33"/>
        <v>1046.4010000000001</v>
      </c>
      <c r="R35" s="962">
        <f t="shared" si="33"/>
        <v>1121.752</v>
      </c>
      <c r="S35" s="962">
        <f t="shared" si="33"/>
        <v>1173.9580000000001</v>
      </c>
      <c r="T35" s="962">
        <f t="shared" si="33"/>
        <v>1249.3649999999998</v>
      </c>
      <c r="U35" s="961">
        <f t="shared" si="33"/>
        <v>4591.4759999999997</v>
      </c>
      <c r="V35" s="962">
        <f t="shared" si="33"/>
        <v>1418.5809999999999</v>
      </c>
      <c r="W35" s="962">
        <f t="shared" si="33"/>
        <v>1525.3969999999999</v>
      </c>
      <c r="X35" s="962">
        <f t="shared" si="33"/>
        <v>1593.768</v>
      </c>
      <c r="Y35" s="962">
        <f t="shared" si="33"/>
        <v>1719.7159999999999</v>
      </c>
      <c r="Z35" s="961">
        <f t="shared" si="33"/>
        <v>6257.4620000000004</v>
      </c>
      <c r="AA35" s="962">
        <f t="shared" si="33"/>
        <v>1740.731</v>
      </c>
      <c r="AB35" s="962">
        <f t="shared" si="33"/>
        <v>1991.6959999999999</v>
      </c>
      <c r="AC35" s="962">
        <f t="shared" si="33"/>
        <v>2086.239</v>
      </c>
      <c r="AD35" s="962">
        <f t="shared" si="33"/>
        <v>2214.3339999999998</v>
      </c>
      <c r="AE35" s="961">
        <f t="shared" si="33"/>
        <v>8033</v>
      </c>
      <c r="AF35" s="962">
        <f t="shared" si="33"/>
        <v>2300.5790000000002</v>
      </c>
      <c r="AG35" s="962">
        <f t="shared" si="33"/>
        <v>2402.431</v>
      </c>
      <c r="AH35" s="962">
        <f t="shared" si="33"/>
        <v>2531.1280000000002</v>
      </c>
      <c r="AI35" s="962">
        <f t="shared" ref="AI35:AY35" si="34">INDEX(MO_RIS_COGS,0,COLUMN())</f>
        <v>2733.4</v>
      </c>
      <c r="AJ35" s="961">
        <f t="shared" si="34"/>
        <v>9967.5380000000005</v>
      </c>
      <c r="AK35" s="962">
        <f t="shared" si="34"/>
        <v>2870.614</v>
      </c>
      <c r="AL35" s="962">
        <f t="shared" si="34"/>
        <v>3005.6570000000002</v>
      </c>
      <c r="AM35" s="962">
        <f t="shared" si="34"/>
        <v>3097.9189999999999</v>
      </c>
      <c r="AN35" s="962">
        <f t="shared" si="34"/>
        <v>3466.0230000000001</v>
      </c>
      <c r="AO35" s="961">
        <f t="shared" si="34"/>
        <v>12440.213</v>
      </c>
      <c r="AP35" s="962">
        <f t="shared" si="34"/>
        <v>3599.701</v>
      </c>
      <c r="AQ35" s="962">
        <f t="shared" si="34"/>
        <v>3643.7069999999999</v>
      </c>
      <c r="AR35" s="962">
        <f>INDEX(MO_RIS_COGS,0,COLUMN())</f>
        <v>3867.7510000000002</v>
      </c>
      <c r="AS35" s="962">
        <f>INDEX(MO_RIS_COGS,0,COLUMN())</f>
        <v>4165.159999999998</v>
      </c>
      <c r="AT35" s="961">
        <f>INDEX(MO_RIS_COGS,0,COLUMN())</f>
        <v>15276.319</v>
      </c>
      <c r="AU35" s="962">
        <f t="shared" si="34"/>
        <v>3868.511</v>
      </c>
      <c r="AV35" s="962">
        <f>INDEX(MO_RIS_COGS,0,COLUMN())</f>
        <v>4018.0079999999998</v>
      </c>
      <c r="AW35" s="963">
        <f>INDEX(MO_RIS_COGS,0,COLUMN())</f>
        <v>4206.5889999999999</v>
      </c>
      <c r="AX35" s="962">
        <f t="shared" si="34"/>
        <v>5036.5767888958799</v>
      </c>
      <c r="AY35" s="961">
        <f t="shared" si="34"/>
        <v>17129.68478889588</v>
      </c>
      <c r="AZ35" s="962">
        <f t="shared" ref="AZ35:BG35" si="35">INDEX(MO_RIS_COGS,0,COLUMN())</f>
        <v>4331.5947668132458</v>
      </c>
      <c r="BA35" s="962">
        <f t="shared" si="35"/>
        <v>4455.7770328384822</v>
      </c>
      <c r="BB35" s="962">
        <f t="shared" si="35"/>
        <v>4624.3812724565969</v>
      </c>
      <c r="BC35" s="962">
        <f t="shared" si="35"/>
        <v>4927.6197693502263</v>
      </c>
      <c r="BD35" s="961">
        <f t="shared" si="35"/>
        <v>18339.372841458549</v>
      </c>
      <c r="BE35" s="961">
        <f t="shared" si="35"/>
        <v>19621.222469914144</v>
      </c>
      <c r="BF35" s="961">
        <f t="shared" si="35"/>
        <v>21344.051549377717</v>
      </c>
      <c r="BG35" s="961">
        <f t="shared" si="35"/>
        <v>22761.246347498629</v>
      </c>
      <c r="BH35" s="841"/>
    </row>
    <row r="36" spans="1:60" customFormat="1" x14ac:dyDescent="0.25">
      <c r="A36" s="250" t="str">
        <f>INDEX(MO_RIS_SM,0,COLUMN())</f>
        <v>S&amp;M</v>
      </c>
      <c r="B36" s="251"/>
      <c r="C36" s="961">
        <f t="shared" ref="C36:AH36" si="36">INDEX(MO_RIS_SM,0,COLUMN())</f>
        <v>237.744</v>
      </c>
      <c r="D36" s="961">
        <f t="shared" si="36"/>
        <v>293.839</v>
      </c>
      <c r="E36" s="961">
        <f t="shared" si="36"/>
        <v>402.63799999999998</v>
      </c>
      <c r="F36" s="961">
        <f t="shared" si="36"/>
        <v>439.20800000000003</v>
      </c>
      <c r="G36" s="962">
        <f t="shared" si="36"/>
        <v>119.086</v>
      </c>
      <c r="H36" s="962">
        <f t="shared" si="36"/>
        <v>114.611</v>
      </c>
      <c r="I36" s="962">
        <f t="shared" si="36"/>
        <v>108.22799999999999</v>
      </c>
      <c r="J36" s="962">
        <f t="shared" si="36"/>
        <v>128.017</v>
      </c>
      <c r="K36" s="961">
        <f t="shared" si="36"/>
        <v>469.94200000000001</v>
      </c>
      <c r="L36" s="962">
        <f t="shared" si="36"/>
        <v>137.09800000000001</v>
      </c>
      <c r="M36" s="962">
        <f t="shared" si="36"/>
        <v>120.76300000000001</v>
      </c>
      <c r="N36" s="962">
        <f t="shared" si="36"/>
        <v>145.654</v>
      </c>
      <c r="O36" s="962">
        <f t="shared" si="36"/>
        <v>203.67100000000005</v>
      </c>
      <c r="P36" s="961">
        <f t="shared" si="36"/>
        <v>607.18600000000004</v>
      </c>
      <c r="Q36" s="962">
        <f t="shared" si="36"/>
        <v>194.67699999999999</v>
      </c>
      <c r="R36" s="962">
        <f t="shared" si="36"/>
        <v>197.14</v>
      </c>
      <c r="S36" s="962">
        <f t="shared" si="36"/>
        <v>208.102</v>
      </c>
      <c r="T36" s="962">
        <f t="shared" si="36"/>
        <v>224.17299999999997</v>
      </c>
      <c r="U36" s="961">
        <f t="shared" si="36"/>
        <v>824.09199999999998</v>
      </c>
      <c r="V36" s="962">
        <f t="shared" si="36"/>
        <v>231.465</v>
      </c>
      <c r="W36" s="962">
        <f t="shared" si="36"/>
        <v>240.59</v>
      </c>
      <c r="X36" s="962">
        <f t="shared" si="36"/>
        <v>311.017</v>
      </c>
      <c r="Y36" s="962">
        <f t="shared" si="36"/>
        <v>314.447</v>
      </c>
      <c r="Z36" s="961">
        <f t="shared" si="36"/>
        <v>1097.519</v>
      </c>
      <c r="AA36" s="962">
        <f t="shared" si="36"/>
        <v>306.14800000000002</v>
      </c>
      <c r="AB36" s="962">
        <f t="shared" si="36"/>
        <v>311.16000000000003</v>
      </c>
      <c r="AC36" s="962">
        <f t="shared" si="36"/>
        <v>352.44600000000003</v>
      </c>
      <c r="AD36" s="962">
        <f t="shared" si="36"/>
        <v>466.52699999999999</v>
      </c>
      <c r="AE36" s="961">
        <f t="shared" si="36"/>
        <v>1436.2809999999999</v>
      </c>
      <c r="AF36" s="962">
        <f t="shared" si="36"/>
        <v>536.77700000000004</v>
      </c>
      <c r="AG36" s="962">
        <f t="shared" si="36"/>
        <v>592.00699999999995</v>
      </c>
      <c r="AH36" s="962">
        <f t="shared" si="36"/>
        <v>510.33</v>
      </c>
      <c r="AI36" s="962">
        <f t="shared" ref="AI36:AY36" si="37">INDEX(MO_RIS_SM,0,COLUMN())</f>
        <v>730.35500000000002</v>
      </c>
      <c r="AJ36" s="961">
        <f t="shared" si="37"/>
        <v>2369.4690000000001</v>
      </c>
      <c r="AK36" s="962">
        <f t="shared" si="37"/>
        <v>616.57799999999997</v>
      </c>
      <c r="AL36" s="962">
        <f t="shared" si="37"/>
        <v>603.15</v>
      </c>
      <c r="AM36" s="962">
        <f t="shared" si="37"/>
        <v>553.79700000000003</v>
      </c>
      <c r="AN36" s="962">
        <f t="shared" si="37"/>
        <v>878.9369999999999</v>
      </c>
      <c r="AO36" s="961">
        <f t="shared" si="37"/>
        <v>2652.462</v>
      </c>
      <c r="AP36" s="962">
        <f t="shared" si="37"/>
        <v>503.83</v>
      </c>
      <c r="AQ36" s="962">
        <f t="shared" si="37"/>
        <v>434.37</v>
      </c>
      <c r="AR36" s="962">
        <f>INDEX(MO_RIS_SM,0,COLUMN())</f>
        <v>527.59699999999998</v>
      </c>
      <c r="AS36" s="962">
        <f>INDEX(MO_RIS_SM,0,COLUMN())</f>
        <v>762.56500000000028</v>
      </c>
      <c r="AT36" s="961">
        <f>INDEX(MO_RIS_SM,0,COLUMN())</f>
        <v>2228.3620000000001</v>
      </c>
      <c r="AU36" s="962">
        <f t="shared" si="37"/>
        <v>512.51199999999994</v>
      </c>
      <c r="AV36" s="962">
        <f>INDEX(MO_RIS_SM,0,COLUMN())</f>
        <v>603.97299999999996</v>
      </c>
      <c r="AW36" s="963">
        <f>INDEX(MO_RIS_SM,0,COLUMN())</f>
        <v>635.94799999999998</v>
      </c>
      <c r="AX36" s="962">
        <f t="shared" si="37"/>
        <v>1025.4045487045014</v>
      </c>
      <c r="AY36" s="961">
        <f t="shared" si="37"/>
        <v>2777.8375487045014</v>
      </c>
      <c r="AZ36" s="962">
        <f t="shared" ref="AZ36:BG36" si="38">INDEX(MO_RIS_SM,0,COLUMN())</f>
        <v>568.22730926979523</v>
      </c>
      <c r="BA36" s="962">
        <f t="shared" si="38"/>
        <v>672.67350434294144</v>
      </c>
      <c r="BB36" s="962">
        <f t="shared" si="38"/>
        <v>710.83789201722152</v>
      </c>
      <c r="BC36" s="962">
        <f t="shared" si="38"/>
        <v>1104.9520843715079</v>
      </c>
      <c r="BD36" s="961">
        <f t="shared" si="38"/>
        <v>3056.6907900014662</v>
      </c>
      <c r="BE36" s="961">
        <f t="shared" si="38"/>
        <v>3430.8633350335454</v>
      </c>
      <c r="BF36" s="961">
        <f t="shared" si="38"/>
        <v>3883.8062252368445</v>
      </c>
      <c r="BG36" s="961">
        <f t="shared" si="38"/>
        <v>4406.5357588779316</v>
      </c>
      <c r="BH36" s="841"/>
    </row>
    <row r="37" spans="1:60" customFormat="1" x14ac:dyDescent="0.25">
      <c r="A37" s="250" t="str">
        <f>INDEX(MO_RIS_GA,0,COLUMN())</f>
        <v>G&amp;A</v>
      </c>
      <c r="B37" s="251"/>
      <c r="C37" s="961">
        <f t="shared" ref="C37:AH37" si="39">INDEX(MO_RIS_GA,0,COLUMN())</f>
        <v>46.773000000000003</v>
      </c>
      <c r="D37" s="961">
        <f t="shared" si="39"/>
        <v>64.460999999999999</v>
      </c>
      <c r="E37" s="961">
        <f t="shared" si="39"/>
        <v>126.937</v>
      </c>
      <c r="F37" s="961">
        <f t="shared" si="39"/>
        <v>139.01599999999999</v>
      </c>
      <c r="G37" s="962">
        <f t="shared" si="39"/>
        <v>44.125999999999998</v>
      </c>
      <c r="H37" s="962">
        <f t="shared" si="39"/>
        <v>43.844000000000001</v>
      </c>
      <c r="I37" s="962">
        <f t="shared" si="39"/>
        <v>46.210999999999999</v>
      </c>
      <c r="J37" s="962">
        <f t="shared" si="39"/>
        <v>46.11999999999999</v>
      </c>
      <c r="K37" s="961">
        <f t="shared" si="39"/>
        <v>180.30099999999999</v>
      </c>
      <c r="L37" s="962">
        <f t="shared" si="39"/>
        <v>55.9</v>
      </c>
      <c r="M37" s="962">
        <f t="shared" si="39"/>
        <v>60.014000000000003</v>
      </c>
      <c r="N37" s="962">
        <f t="shared" si="39"/>
        <v>78.024000000000001</v>
      </c>
      <c r="O37" s="962">
        <f t="shared" si="39"/>
        <v>75.802999999999969</v>
      </c>
      <c r="P37" s="961">
        <f t="shared" si="39"/>
        <v>269.74099999999999</v>
      </c>
      <c r="Q37" s="962">
        <f t="shared" si="39"/>
        <v>91.489000000000004</v>
      </c>
      <c r="R37" s="962">
        <f t="shared" si="39"/>
        <v>95.906000000000006</v>
      </c>
      <c r="S37" s="962">
        <f t="shared" si="39"/>
        <v>110.892</v>
      </c>
      <c r="T37" s="962">
        <f t="shared" si="39"/>
        <v>109.04200000000003</v>
      </c>
      <c r="U37" s="961">
        <f t="shared" si="39"/>
        <v>407.32900000000001</v>
      </c>
      <c r="V37" s="962">
        <f t="shared" si="39"/>
        <v>71.626999999999995</v>
      </c>
      <c r="W37" s="962">
        <f t="shared" si="39"/>
        <v>78.643000000000001</v>
      </c>
      <c r="X37" s="962">
        <f t="shared" si="39"/>
        <v>81.861000000000004</v>
      </c>
      <c r="Y37" s="962">
        <f t="shared" si="39"/>
        <v>83.531999999999996</v>
      </c>
      <c r="Z37" s="961">
        <f t="shared" si="39"/>
        <v>315.66300000000001</v>
      </c>
      <c r="AA37" s="962">
        <f t="shared" si="39"/>
        <v>98.942999999999998</v>
      </c>
      <c r="AB37" s="962">
        <f t="shared" si="39"/>
        <v>112.31699999999999</v>
      </c>
      <c r="AC37" s="962">
        <f t="shared" si="39"/>
        <v>107.324</v>
      </c>
      <c r="AD37" s="962">
        <f t="shared" si="39"/>
        <v>112.459</v>
      </c>
      <c r="AE37" s="961">
        <f t="shared" si="39"/>
        <v>431.04300000000001</v>
      </c>
      <c r="AF37" s="962">
        <f t="shared" si="39"/>
        <v>134.61199999999999</v>
      </c>
      <c r="AG37" s="962">
        <f t="shared" si="39"/>
        <v>151.524</v>
      </c>
      <c r="AH37" s="962">
        <f t="shared" si="39"/>
        <v>168.62799999999999</v>
      </c>
      <c r="AI37" s="962">
        <f t="shared" ref="AI37:AY37" si="40">INDEX(MO_RIS_GA,0,COLUMN())</f>
        <v>175.53000000000003</v>
      </c>
      <c r="AJ37" s="961">
        <f t="shared" si="40"/>
        <v>630.29399999999998</v>
      </c>
      <c r="AK37" s="962">
        <f t="shared" si="40"/>
        <v>201.952</v>
      </c>
      <c r="AL37" s="962">
        <f t="shared" si="40"/>
        <v>224.65700000000001</v>
      </c>
      <c r="AM37" s="962">
        <f t="shared" si="40"/>
        <v>233.17400000000001</v>
      </c>
      <c r="AN37" s="962">
        <f t="shared" si="40"/>
        <v>254.58599999999998</v>
      </c>
      <c r="AO37" s="961">
        <f t="shared" si="40"/>
        <v>914.36900000000003</v>
      </c>
      <c r="AP37" s="962">
        <f t="shared" si="40"/>
        <v>252.08699999999999</v>
      </c>
      <c r="AQ37" s="962">
        <f t="shared" si="40"/>
        <v>277.23599999999999</v>
      </c>
      <c r="AR37" s="962">
        <f>INDEX(MO_RIS_GA,0,COLUMN())</f>
        <v>271.62400000000002</v>
      </c>
      <c r="AS37" s="962">
        <f>INDEX(MO_RIS_GA,0,COLUMN())</f>
        <v>275.5390000000001</v>
      </c>
      <c r="AT37" s="961">
        <f>INDEX(MO_RIS_GA,0,COLUMN())</f>
        <v>1076.4860000000001</v>
      </c>
      <c r="AU37" s="962">
        <f t="shared" si="40"/>
        <v>297.19600000000003</v>
      </c>
      <c r="AV37" s="962">
        <f>INDEX(MO_RIS_GA,0,COLUMN())</f>
        <v>334.84500000000003</v>
      </c>
      <c r="AW37" s="963">
        <f>INDEX(MO_RIS_GA,0,COLUMN())</f>
        <v>321.79000000000002</v>
      </c>
      <c r="AX37" s="962">
        <f t="shared" si="40"/>
        <v>412.95886225424772</v>
      </c>
      <c r="AY37" s="961">
        <f t="shared" si="40"/>
        <v>1366.789862254248</v>
      </c>
      <c r="AZ37" s="962">
        <f t="shared" ref="AZ37:BG37" si="41">INDEX(MO_RIS_GA,0,COLUMN())</f>
        <v>327.82421843603504</v>
      </c>
      <c r="BA37" s="962">
        <f t="shared" si="41"/>
        <v>358.75956074547884</v>
      </c>
      <c r="BB37" s="962">
        <f t="shared" si="41"/>
        <v>347.03861555493836</v>
      </c>
      <c r="BC37" s="962">
        <f t="shared" si="41"/>
        <v>448.62406935286543</v>
      </c>
      <c r="BD37" s="961">
        <f t="shared" si="41"/>
        <v>1482.2464640893177</v>
      </c>
      <c r="BE37" s="961">
        <f t="shared" si="41"/>
        <v>1635.1299054642475</v>
      </c>
      <c r="BF37" s="961">
        <f t="shared" si="41"/>
        <v>1839.7692575514204</v>
      </c>
      <c r="BG37" s="961">
        <f t="shared" si="41"/>
        <v>2074.503837989429</v>
      </c>
      <c r="BH37" s="841"/>
    </row>
    <row r="38" spans="1:60" customFormat="1" x14ac:dyDescent="0.25">
      <c r="A38" s="355" t="str">
        <f>INDEX(MO_RIS_RD,0,COLUMN())</f>
        <v>R&amp;D</v>
      </c>
      <c r="B38" s="356"/>
      <c r="C38" s="953">
        <f t="shared" ref="C38:AH38" si="42">INDEX(MO_RIS_RD,0,COLUMN())</f>
        <v>114.542</v>
      </c>
      <c r="D38" s="953">
        <f t="shared" si="42"/>
        <v>163.32900000000001</v>
      </c>
      <c r="E38" s="953">
        <f t="shared" si="42"/>
        <v>259.03300000000002</v>
      </c>
      <c r="F38" s="953">
        <f t="shared" si="42"/>
        <v>329.00799999999998</v>
      </c>
      <c r="G38" s="954">
        <f t="shared" si="42"/>
        <v>91.974999999999994</v>
      </c>
      <c r="H38" s="954">
        <f t="shared" si="42"/>
        <v>93.126000000000005</v>
      </c>
      <c r="I38" s="954">
        <f t="shared" si="42"/>
        <v>95.54</v>
      </c>
      <c r="J38" s="954">
        <f t="shared" si="42"/>
        <v>98.127999999999972</v>
      </c>
      <c r="K38" s="953">
        <f t="shared" si="42"/>
        <v>378.76900000000001</v>
      </c>
      <c r="L38" s="954">
        <f t="shared" si="42"/>
        <v>110.31</v>
      </c>
      <c r="M38" s="954">
        <f t="shared" si="42"/>
        <v>115.182</v>
      </c>
      <c r="N38" s="954">
        <f t="shared" si="42"/>
        <v>120.953</v>
      </c>
      <c r="O38" s="954">
        <f t="shared" si="42"/>
        <v>125.876</v>
      </c>
      <c r="P38" s="953">
        <f t="shared" si="42"/>
        <v>472.32100000000003</v>
      </c>
      <c r="Q38" s="954">
        <f t="shared" si="42"/>
        <v>143.10599999999999</v>
      </c>
      <c r="R38" s="954">
        <f t="shared" si="42"/>
        <v>155.06100000000001</v>
      </c>
      <c r="S38" s="954">
        <f t="shared" si="42"/>
        <v>171.762</v>
      </c>
      <c r="T38" s="954">
        <f t="shared" si="42"/>
        <v>180.85899999999998</v>
      </c>
      <c r="U38" s="953">
        <f t="shared" si="42"/>
        <v>650.78800000000001</v>
      </c>
      <c r="V38" s="954">
        <f t="shared" si="42"/>
        <v>186.61</v>
      </c>
      <c r="W38" s="954">
        <f t="shared" si="42"/>
        <v>190.20400000000001</v>
      </c>
      <c r="X38" s="954">
        <f t="shared" si="42"/>
        <v>197.506</v>
      </c>
      <c r="Y38" s="954">
        <f t="shared" si="42"/>
        <v>205.91200000000001</v>
      </c>
      <c r="Z38" s="953">
        <f t="shared" si="42"/>
        <v>780.23199999999997</v>
      </c>
      <c r="AA38" s="954">
        <f t="shared" si="42"/>
        <v>233.87100000000001</v>
      </c>
      <c r="AB38" s="954">
        <f t="shared" si="42"/>
        <v>242.48400000000001</v>
      </c>
      <c r="AC38" s="954">
        <f t="shared" si="42"/>
        <v>230.22300000000001</v>
      </c>
      <c r="AD38" s="954">
        <f t="shared" si="42"/>
        <v>247.13200000000001</v>
      </c>
      <c r="AE38" s="953">
        <f t="shared" si="42"/>
        <v>953.71</v>
      </c>
      <c r="AF38" s="954">
        <f t="shared" si="42"/>
        <v>282.31</v>
      </c>
      <c r="AG38" s="954">
        <f t="shared" si="42"/>
        <v>299.09500000000003</v>
      </c>
      <c r="AH38" s="954">
        <f t="shared" si="42"/>
        <v>308.62</v>
      </c>
      <c r="AI38" s="954">
        <f t="shared" ref="AI38:AY38" si="43">INDEX(MO_RIS_RD,0,COLUMN())</f>
        <v>331.7890000000001</v>
      </c>
      <c r="AJ38" s="953">
        <f t="shared" si="43"/>
        <v>1221.8140000000001</v>
      </c>
      <c r="AK38" s="954">
        <f t="shared" si="43"/>
        <v>372.76400000000001</v>
      </c>
      <c r="AL38" s="954">
        <f t="shared" si="43"/>
        <v>383.233</v>
      </c>
      <c r="AM38" s="954">
        <f t="shared" si="43"/>
        <v>379.77600000000001</v>
      </c>
      <c r="AN38" s="954">
        <f t="shared" si="43"/>
        <v>409.37599999999981</v>
      </c>
      <c r="AO38" s="953">
        <f t="shared" si="43"/>
        <v>1545.1489999999999</v>
      </c>
      <c r="AP38" s="954">
        <f t="shared" si="43"/>
        <v>453.81700000000001</v>
      </c>
      <c r="AQ38" s="954">
        <f t="shared" si="43"/>
        <v>435.04500000000002</v>
      </c>
      <c r="AR38" s="954">
        <f>INDEX(MO_RIS_RD,0,COLUMN())</f>
        <v>453.80200000000002</v>
      </c>
      <c r="AS38" s="954">
        <f>INDEX(MO_RIS_RD,0,COLUMN())</f>
        <v>486.93599999999981</v>
      </c>
      <c r="AT38" s="953">
        <f>INDEX(MO_RIS_RD,0,COLUMN())</f>
        <v>1829.6</v>
      </c>
      <c r="AU38" s="954">
        <f t="shared" si="43"/>
        <v>525.20699999999999</v>
      </c>
      <c r="AV38" s="954">
        <f>INDEX(MO_RIS_RD,0,COLUMN())</f>
        <v>537.32100000000003</v>
      </c>
      <c r="AW38" s="955">
        <f>INDEX(MO_RIS_RD,0,COLUMN())</f>
        <v>563.88699999999994</v>
      </c>
      <c r="AX38" s="954">
        <f t="shared" si="43"/>
        <v>720.46753389287824</v>
      </c>
      <c r="AY38" s="953">
        <f t="shared" si="43"/>
        <v>2346.8825338928782</v>
      </c>
      <c r="AZ38" s="954">
        <f t="shared" ref="AZ38:BG38" si="44">INDEX(MO_RIS_RD,0,COLUMN())</f>
        <v>582.40144049150933</v>
      </c>
      <c r="BA38" s="954">
        <f t="shared" si="44"/>
        <v>597.9860535534807</v>
      </c>
      <c r="BB38" s="954">
        <f t="shared" si="44"/>
        <v>633.56396352486729</v>
      </c>
      <c r="BC38" s="954">
        <f t="shared" si="44"/>
        <v>760.80648107172556</v>
      </c>
      <c r="BD38" s="953">
        <f t="shared" si="44"/>
        <v>2574.7579386415828</v>
      </c>
      <c r="BE38" s="953">
        <f t="shared" si="44"/>
        <v>2886.9645675331126</v>
      </c>
      <c r="BF38" s="953">
        <f t="shared" si="44"/>
        <v>3264.7003105487861</v>
      </c>
      <c r="BG38" s="953">
        <f t="shared" si="44"/>
        <v>3700.2008058959941</v>
      </c>
      <c r="BH38" s="841"/>
    </row>
    <row r="39" spans="1:60" customFormat="1" x14ac:dyDescent="0.25">
      <c r="A39" s="252" t="str">
        <f>INDEX(MO_RIS_EBIT,0,COLUMN())</f>
        <v>EBIT</v>
      </c>
      <c r="B39" s="253"/>
      <c r="C39" s="964">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191.93900000000002</v>
      </c>
      <c r="D39" s="964">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283.64100000000002</v>
      </c>
      <c r="E39" s="964">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376.06800000000015</v>
      </c>
      <c r="F39" s="964">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49.992000000000104</v>
      </c>
      <c r="G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31.822000000000024</v>
      </c>
      <c r="H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57.117000000000083</v>
      </c>
      <c r="I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57.120000000000033</v>
      </c>
      <c r="J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82.287999999999116</v>
      </c>
      <c r="K39" s="964">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228.34699999999992</v>
      </c>
      <c r="L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97.594999999999885</v>
      </c>
      <c r="M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129.59999999999994</v>
      </c>
      <c r="N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110.40700000000004</v>
      </c>
      <c r="O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65.045999999999736</v>
      </c>
      <c r="P39" s="964">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402.6479999999998</v>
      </c>
      <c r="Q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97.455999999999847</v>
      </c>
      <c r="R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74.83499999999998</v>
      </c>
      <c r="S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73.640999999999934</v>
      </c>
      <c r="T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59.894000000000773</v>
      </c>
      <c r="U39" s="964">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305.82600000000076</v>
      </c>
      <c r="V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49.453000000000188</v>
      </c>
      <c r="W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70.370000000000232</v>
      </c>
      <c r="X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106.0360000000001</v>
      </c>
      <c r="Y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153.93399999999934</v>
      </c>
      <c r="Z39" s="964">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379.79299999999944</v>
      </c>
      <c r="AA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256.94200000000023</v>
      </c>
      <c r="AB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127.80699999999997</v>
      </c>
      <c r="AC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208.6269999999999</v>
      </c>
      <c r="AD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245.30299999999977</v>
      </c>
      <c r="AE39" s="964">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838.67899999999975</v>
      </c>
      <c r="AF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446.57800000000009</v>
      </c>
      <c r="AG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462.21299999999997</v>
      </c>
      <c r="AH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480.66799999999984</v>
      </c>
      <c r="AI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215.767</v>
      </c>
      <c r="AJ39" s="964">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1605.2259999999997</v>
      </c>
      <c r="AK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459.08400000000006</v>
      </c>
      <c r="AL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706.41899999999987</v>
      </c>
      <c r="AM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980.23899999999981</v>
      </c>
      <c r="AN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458.5120000000004</v>
      </c>
      <c r="AO39" s="964">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2604.2540000000008</v>
      </c>
      <c r="AP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958.25599999999986</v>
      </c>
      <c r="AQ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1357.9280000000003</v>
      </c>
      <c r="AR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1314.8629999999994</v>
      </c>
      <c r="AS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954.24200000000371</v>
      </c>
      <c r="AT39" s="964">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4585.2890000000007</v>
      </c>
      <c r="AU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1959.8560000000007</v>
      </c>
      <c r="AV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1847.6300000000003</v>
      </c>
      <c r="AW39" s="966">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1755.2530000000002</v>
      </c>
      <c r="AX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527.91090871649351</v>
      </c>
      <c r="AY39" s="964">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6090.6499087164948</v>
      </c>
      <c r="AZ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2187.8489996205631</v>
      </c>
      <c r="BA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2141.6928900291905</v>
      </c>
      <c r="BB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2148.5093808575621</v>
      </c>
      <c r="BC39" s="965">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1474.3751577222924</v>
      </c>
      <c r="BD39" s="964">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7952.4264282296081</v>
      </c>
      <c r="BE39" s="964">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10126.522661446814</v>
      </c>
      <c r="BF39" s="964">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12581.408764724378</v>
      </c>
      <c r="BG39" s="964">
        <f>IFERROR(INDEX(SP_GF_Rev,0,COLUMN()),0)-IFERROR(INDEX(SP_GF_COGS,0,COLUMN()),0)-IFERROR(INDEX(SP_GF_SGA,0,COLUMN()),0)-IFERROR(INDEX(SP_GF_OI_Operating,0,COLUMN()),0)-IFERROR(INDEX(SP_GF_DA_Operating,0,COLUMN()),0)-IFERROR(INDEX(SP_GF_OPEX,0,COLUMN()),0)-IFERROR(INDEX(SP_GF_RD,0,COLUMN()),0)-IFERROR(INDEX(SP_GF_SM,0,COLUMN()),0)-IFERROR(INDEX(SP_GF_GA,0,COLUMN()),0)</f>
        <v>16017.587861527161</v>
      </c>
      <c r="BH39" s="839"/>
    </row>
    <row r="40" spans="1:60" customFormat="1" x14ac:dyDescent="0.25">
      <c r="A40" s="250" t="str">
        <f>INDEX(MO_RIS_IE,0,COLUMN())</f>
        <v>Interest expense</v>
      </c>
      <c r="B40" s="251"/>
      <c r="C40" s="961">
        <f>IFERROR(INDEX(MO_RIS_IE_Net,0,COLUMN()),INDEX(MO_RIS_IE,0,COLUMN())+INDEX(MO_RIS_II,0,COLUMN()))</f>
        <v>6.4749999999999996</v>
      </c>
      <c r="D40" s="961">
        <f>IFERROR(INDEX(MO_RIS_IE_Net,0,COLUMN()),INDEX(MO_RIS_IE,0,COLUMN())+INDEX(MO_RIS_II,0,COLUMN()))</f>
        <v>19.629000000000001</v>
      </c>
      <c r="E40" s="961">
        <f>IFERROR(INDEX(MO_RIS_IE_Net,0,COLUMN()),INDEX(MO_RIS_IE,0,COLUMN())+INDEX(MO_RIS_II,0,COLUMN()))</f>
        <v>20.024999999999999</v>
      </c>
      <c r="F40" s="961">
        <f>IFERROR(INDEX(MO_RIS_IE_Net,0,COLUMN()),INDEX(MO_RIS_IE,0,COLUMN())+INDEX(MO_RIS_II,0,COLUMN()))</f>
        <v>19.986000000000001</v>
      </c>
      <c r="G40" s="962">
        <f>IFERROR(INDEX(MO_RIS_IE_Net,0,COLUMN()),INDEX(MO_RIS_IE,0,COLUMN())+INDEX(MO_RIS_II,0,COLUMN()))</f>
        <v>6.74</v>
      </c>
      <c r="H40" s="962">
        <f>IFERROR(INDEX(MO_RIS_IE_Net,0,COLUMN()),INDEX(MO_RIS_IE,0,COLUMN())+INDEX(MO_RIS_II,0,COLUMN()))</f>
        <v>7.5279999999999996</v>
      </c>
      <c r="I40" s="962">
        <f>IFERROR(INDEX(MO_RIS_IE_Net,0,COLUMN()),INDEX(MO_RIS_IE,0,COLUMN())+INDEX(MO_RIS_II,0,COLUMN()))</f>
        <v>7.4359999999999999</v>
      </c>
      <c r="J40" s="962">
        <f>IFERROR(INDEX(MO_RIS_IE_Net,0,COLUMN()),INDEX(MO_RIS_IE,0,COLUMN())+INDEX(MO_RIS_II,0,COLUMN()))</f>
        <v>7.4380000000000024</v>
      </c>
      <c r="K40" s="961">
        <f>IFERROR(INDEX(MO_RIS_IE_Net,0,COLUMN()),INDEX(MO_RIS_IE,0,COLUMN())+INDEX(MO_RIS_II,0,COLUMN()))</f>
        <v>29.141999999999999</v>
      </c>
      <c r="L40" s="962">
        <f>IFERROR(INDEX(MO_RIS_IE_Net,0,COLUMN()),INDEX(MO_RIS_IE,0,COLUMN())+INDEX(MO_RIS_II,0,COLUMN()))</f>
        <v>10.052</v>
      </c>
      <c r="M40" s="962">
        <f>IFERROR(INDEX(MO_RIS_IE_Net,0,COLUMN()),INDEX(MO_RIS_IE,0,COLUMN())+INDEX(MO_RIS_II,0,COLUMN()))</f>
        <v>13.327999999999999</v>
      </c>
      <c r="N40" s="962">
        <f>IFERROR(INDEX(MO_RIS_IE_Net,0,COLUMN()),INDEX(MO_RIS_IE,0,COLUMN())+INDEX(MO_RIS_II,0,COLUMN()))</f>
        <v>13.486000000000001</v>
      </c>
      <c r="O40" s="962">
        <f>IFERROR(INDEX(MO_RIS_IE_Net,0,COLUMN()),INDEX(MO_RIS_IE,0,COLUMN())+INDEX(MO_RIS_II,0,COLUMN()))</f>
        <v>13.353000000000002</v>
      </c>
      <c r="P40" s="961">
        <f>IFERROR(INDEX(MO_RIS_IE_Net,0,COLUMN()),INDEX(MO_RIS_IE,0,COLUMN())+INDEX(MO_RIS_II,0,COLUMN()))</f>
        <v>50.219000000000001</v>
      </c>
      <c r="Q40" s="962">
        <f>IFERROR(INDEX(MO_RIS_IE_Net,0,COLUMN()),INDEX(MO_RIS_IE,0,COLUMN())+INDEX(MO_RIS_II,0,COLUMN()))</f>
        <v>26.736999999999998</v>
      </c>
      <c r="R40" s="962">
        <f>IFERROR(INDEX(MO_RIS_IE_Net,0,COLUMN()),INDEX(MO_RIS_IE,0,COLUMN())+INDEX(MO_RIS_II,0,COLUMN()))</f>
        <v>35.216999999999999</v>
      </c>
      <c r="S40" s="962">
        <f>IFERROR(INDEX(MO_RIS_IE_Net,0,COLUMN()),INDEX(MO_RIS_IE,0,COLUMN())+INDEX(MO_RIS_II,0,COLUMN()))</f>
        <v>35.332999999999998</v>
      </c>
      <c r="T40" s="962">
        <f>IFERROR(INDEX(MO_RIS_IE_Net,0,COLUMN()),INDEX(MO_RIS_IE,0,COLUMN())+INDEX(MO_RIS_II,0,COLUMN()))</f>
        <v>35.429000000000016</v>
      </c>
      <c r="U40" s="961">
        <f>IFERROR(INDEX(MO_RIS_IE_Net,0,COLUMN()),INDEX(MO_RIS_IE,0,COLUMN())+INDEX(MO_RIS_II,0,COLUMN()))</f>
        <v>132.71600000000001</v>
      </c>
      <c r="V40" s="962">
        <f>IFERROR(INDEX(MO_RIS_IE_Net,0,COLUMN()),INDEX(MO_RIS_IE,0,COLUMN())+INDEX(MO_RIS_II,0,COLUMN()))</f>
        <v>35.536999999999999</v>
      </c>
      <c r="W40" s="962">
        <f>IFERROR(INDEX(MO_RIS_IE_Net,0,COLUMN()),INDEX(MO_RIS_IE,0,COLUMN())+INDEX(MO_RIS_II,0,COLUMN()))</f>
        <v>35.454999999999998</v>
      </c>
      <c r="X40" s="962">
        <f>IFERROR(INDEX(MO_RIS_IE_Net,0,COLUMN()),INDEX(MO_RIS_IE,0,COLUMN())+INDEX(MO_RIS_II,0,COLUMN()))</f>
        <v>35.536000000000001</v>
      </c>
      <c r="Y40" s="962">
        <f>IFERROR(INDEX(MO_RIS_IE_Net,0,COLUMN()),INDEX(MO_RIS_IE,0,COLUMN())+INDEX(MO_RIS_II,0,COLUMN()))</f>
        <v>43.585999999999999</v>
      </c>
      <c r="Z40" s="961">
        <f>IFERROR(INDEX(MO_RIS_IE_Net,0,COLUMN()),INDEX(MO_RIS_IE,0,COLUMN())+INDEX(MO_RIS_II,0,COLUMN()))</f>
        <v>150.114</v>
      </c>
      <c r="AA40" s="962">
        <f>IFERROR(INDEX(MO_RIS_IE_Net,0,COLUMN()),INDEX(MO_RIS_IE,0,COLUMN())+INDEX(MO_RIS_II,0,COLUMN()))</f>
        <v>46.741999999999997</v>
      </c>
      <c r="AB40" s="962">
        <f>IFERROR(INDEX(MO_RIS_IE_Net,0,COLUMN()),INDEX(MO_RIS_IE,0,COLUMN())+INDEX(MO_RIS_II,0,COLUMN()))</f>
        <v>55.481999999999999</v>
      </c>
      <c r="AC40" s="962">
        <f>IFERROR(INDEX(MO_RIS_IE_Net,0,COLUMN()),INDEX(MO_RIS_IE,0,COLUMN())+INDEX(MO_RIS_II,0,COLUMN()))</f>
        <v>60.688000000000002</v>
      </c>
      <c r="AD40" s="962">
        <f>IFERROR(INDEX(MO_RIS_IE_Net,0,COLUMN()),INDEX(MO_RIS_IE,0,COLUMN())+INDEX(MO_RIS_II,0,COLUMN()))</f>
        <v>75.292000000000016</v>
      </c>
      <c r="AE40" s="961">
        <f>IFERROR(INDEX(MO_RIS_IE_Net,0,COLUMN()),INDEX(MO_RIS_IE,0,COLUMN())+INDEX(MO_RIS_II,0,COLUMN()))</f>
        <v>238.20400000000001</v>
      </c>
      <c r="AF40" s="962">
        <f>IFERROR(INDEX(MO_RIS_IE_Net,0,COLUMN()),INDEX(MO_RIS_IE,0,COLUMN())+INDEX(MO_RIS_II,0,COLUMN()))</f>
        <v>81.218999999999994</v>
      </c>
      <c r="AG40" s="962">
        <f>IFERROR(INDEX(MO_RIS_IE_Net,0,COLUMN()),INDEX(MO_RIS_IE,0,COLUMN())+INDEX(MO_RIS_II,0,COLUMN()))</f>
        <v>101.605</v>
      </c>
      <c r="AH40" s="962">
        <f>IFERROR(INDEX(MO_RIS_IE_Net,0,COLUMN()),INDEX(MO_RIS_IE,0,COLUMN())+INDEX(MO_RIS_II,0,COLUMN()))</f>
        <v>108.86199999999999</v>
      </c>
      <c r="AI40" s="962">
        <f>IFERROR(INDEX(MO_RIS_IE_Net,0,COLUMN()),INDEX(MO_RIS_IE,0,COLUMN())+INDEX(MO_RIS_II,0,COLUMN()))</f>
        <v>128.80699999999999</v>
      </c>
      <c r="AJ40" s="961">
        <f>IFERROR(INDEX(MO_RIS_IE_Net,0,COLUMN()),INDEX(MO_RIS_IE,0,COLUMN())+INDEX(MO_RIS_II,0,COLUMN()))</f>
        <v>420.49299999999999</v>
      </c>
      <c r="AK40" s="962">
        <f>IFERROR(INDEX(MO_RIS_IE_Net,0,COLUMN()),INDEX(MO_RIS_IE,0,COLUMN())+INDEX(MO_RIS_II,0,COLUMN()))</f>
        <v>135.529</v>
      </c>
      <c r="AL40" s="962">
        <f>IFERROR(INDEX(MO_RIS_IE_Net,0,COLUMN()),INDEX(MO_RIS_IE,0,COLUMN())+INDEX(MO_RIS_II,0,COLUMN()))</f>
        <v>152.03299999999999</v>
      </c>
      <c r="AM40" s="962">
        <f>IFERROR(INDEX(MO_RIS_IE_Net,0,COLUMN()),INDEX(MO_RIS_IE,0,COLUMN())+INDEX(MO_RIS_II,0,COLUMN()))</f>
        <v>160.66</v>
      </c>
      <c r="AN40" s="962">
        <f>IFERROR(INDEX(MO_RIS_IE_Net,0,COLUMN()),INDEX(MO_RIS_IE,0,COLUMN())+INDEX(MO_RIS_II,0,COLUMN()))</f>
        <v>177.80100000000004</v>
      </c>
      <c r="AO40" s="961">
        <f>IFERROR(INDEX(MO_RIS_IE_Net,0,COLUMN()),INDEX(MO_RIS_IE,0,COLUMN())+INDEX(MO_RIS_II,0,COLUMN()))</f>
        <v>626.02300000000002</v>
      </c>
      <c r="AP40" s="962">
        <f>IFERROR(INDEX(MO_RIS_IE_Net,0,COLUMN()),INDEX(MO_RIS_IE,0,COLUMN())+INDEX(MO_RIS_II,0,COLUMN()))</f>
        <v>184.083</v>
      </c>
      <c r="AQ40" s="962">
        <f>IFERROR(INDEX(MO_RIS_IE_Net,0,COLUMN()),INDEX(MO_RIS_IE,0,COLUMN())+INDEX(MO_RIS_II,0,COLUMN()))</f>
        <v>189.15100000000001</v>
      </c>
      <c r="AR40" s="962">
        <f>IFERROR(INDEX(MO_RIS_IE_Net,0,COLUMN()),INDEX(MO_RIS_IE,0,COLUMN())+INDEX(MO_RIS_II,0,COLUMN()))</f>
        <v>197.07900000000001</v>
      </c>
      <c r="AS40" s="962">
        <f>IFERROR(INDEX(MO_RIS_IE_Net,0,COLUMN()),INDEX(MO_RIS_IE,0,COLUMN())+INDEX(MO_RIS_II,0,COLUMN()))</f>
        <v>197.18599999999992</v>
      </c>
      <c r="AT40" s="961">
        <f>IFERROR(INDEX(MO_RIS_IE_Net,0,COLUMN()),INDEX(MO_RIS_IE,0,COLUMN())+INDEX(MO_RIS_II,0,COLUMN()))</f>
        <v>767.49900000000002</v>
      </c>
      <c r="AU40" s="962">
        <f>IFERROR(INDEX(MO_RIS_IE_Net,0,COLUMN()),INDEX(MO_RIS_IE,0,COLUMN())+INDEX(MO_RIS_II,0,COLUMN()))</f>
        <v>194.44</v>
      </c>
      <c r="AV40" s="962">
        <f>IFERROR(INDEX(MO_RIS_IE_Net,0,COLUMN()),INDEX(MO_RIS_IE,0,COLUMN())+INDEX(MO_RIS_II,0,COLUMN()))</f>
        <v>191.322</v>
      </c>
      <c r="AW40" s="963">
        <f>IFERROR(INDEX(MO_RIS_IE_Net,0,COLUMN()),INDEX(MO_RIS_IE,0,COLUMN())+INDEX(MO_RIS_II,0,COLUMN()))</f>
        <v>190.429</v>
      </c>
      <c r="AX40" s="962">
        <f>IFERROR(INDEX(MO_RIS_IE_Net,0,COLUMN()),INDEX(MO_RIS_IE,0,COLUMN())+INDEX(MO_RIS_II,0,COLUMN()))</f>
        <v>170.4098073863014</v>
      </c>
      <c r="AY40" s="961">
        <f>IFERROR(INDEX(MO_RIS_IE_Net,0,COLUMN()),INDEX(MO_RIS_IE,0,COLUMN())+INDEX(MO_RIS_II,0,COLUMN()))</f>
        <v>746.60080738630143</v>
      </c>
      <c r="AZ40" s="962">
        <f ca="1">IFERROR(INDEX(MO_RIS_IE_Net,0,COLUMN()),INDEX(MO_RIS_IE,0,COLUMN())+INDEX(MO_RIS_II,0,COLUMN()))</f>
        <v>165.64355139614747</v>
      </c>
      <c r="BA40" s="962">
        <f ca="1">IFERROR(INDEX(MO_RIS_IE_Net,0,COLUMN()),INDEX(MO_RIS_IE,0,COLUMN())+INDEX(MO_RIS_II,0,COLUMN()))</f>
        <v>164.94079669434933</v>
      </c>
      <c r="BB40" s="962">
        <f ca="1">IFERROR(INDEX(MO_RIS_IE_Net,0,COLUMN()),INDEX(MO_RIS_IE,0,COLUMN())+INDEX(MO_RIS_II,0,COLUMN()))</f>
        <v>164.35596193529619</v>
      </c>
      <c r="BC40" s="962">
        <f ca="1">IFERROR(INDEX(MO_RIS_IE_Net,0,COLUMN()),INDEX(MO_RIS_IE,0,COLUMN())+INDEX(MO_RIS_II,0,COLUMN()))</f>
        <v>160.31866277514291</v>
      </c>
      <c r="BD40" s="961">
        <f ca="1">IFERROR(INDEX(MO_RIS_IE_Net,0,COLUMN()),INDEX(MO_RIS_IE,0,COLUMN())+INDEX(MO_RIS_II,0,COLUMN()))</f>
        <v>655.25897280093591</v>
      </c>
      <c r="BE40" s="961">
        <f ca="1">IFERROR(INDEX(MO_RIS_IE_Net,0,COLUMN()),INDEX(MO_RIS_IE,0,COLUMN())+INDEX(MO_RIS_II,0,COLUMN()))</f>
        <v>625.05683083620704</v>
      </c>
      <c r="BF40" s="961">
        <f ca="1">IFERROR(INDEX(MO_RIS_IE_Net,0,COLUMN()),INDEX(MO_RIS_IE,0,COLUMN())+INDEX(MO_RIS_II,0,COLUMN()))</f>
        <v>551.41541358134134</v>
      </c>
      <c r="BG40" s="961">
        <f ca="1">IFERROR(INDEX(MO_RIS_IE_Net,0,COLUMN()),INDEX(MO_RIS_IE,0,COLUMN())+INDEX(MO_RIS_II,0,COLUMN()))</f>
        <v>444.28798452821275</v>
      </c>
      <c r="BH40" s="841"/>
    </row>
    <row r="41" spans="1:60" customFormat="1" x14ac:dyDescent="0.25">
      <c r="A41" s="355" t="s">
        <v>334</v>
      </c>
      <c r="B41" s="356"/>
      <c r="C41" s="953">
        <f t="shared" ref="C41:AH41" si="45">INDEX(MO_RIS_OI,0,COLUMN())+INDEX(MO_RIS_OTI,0,COLUMN())</f>
        <v>-6.7279999999999998</v>
      </c>
      <c r="D41" s="953">
        <f t="shared" si="45"/>
        <v>-3.6840000000000002</v>
      </c>
      <c r="E41" s="953">
        <f t="shared" si="45"/>
        <v>-3.4790000000000001</v>
      </c>
      <c r="F41" s="953">
        <f t="shared" si="45"/>
        <v>-0.47399999999999998</v>
      </c>
      <c r="G41" s="954">
        <f t="shared" si="45"/>
        <v>24.152000000000001</v>
      </c>
      <c r="H41" s="954">
        <f t="shared" si="45"/>
        <v>2.94</v>
      </c>
      <c r="I41" s="954">
        <f t="shared" si="45"/>
        <v>0.193</v>
      </c>
      <c r="J41" s="954">
        <f t="shared" si="45"/>
        <v>0.84599999999999964</v>
      </c>
      <c r="K41" s="953">
        <f t="shared" si="45"/>
        <v>28.131</v>
      </c>
      <c r="L41" s="954">
        <f t="shared" si="45"/>
        <v>-1.401</v>
      </c>
      <c r="M41" s="954">
        <f t="shared" si="45"/>
        <v>-1.1000000000000001</v>
      </c>
      <c r="N41" s="954">
        <f t="shared" si="45"/>
        <v>-0.61599999999999999</v>
      </c>
      <c r="O41" s="954">
        <f t="shared" si="45"/>
        <v>6.1769999999999996</v>
      </c>
      <c r="P41" s="953">
        <f t="shared" si="45"/>
        <v>3.06</v>
      </c>
      <c r="Q41" s="954">
        <f t="shared" si="45"/>
        <v>32.292999999999999</v>
      </c>
      <c r="R41" s="954">
        <f t="shared" si="45"/>
        <v>-0.872</v>
      </c>
      <c r="S41" s="954">
        <f t="shared" si="45"/>
        <v>-3.93</v>
      </c>
      <c r="T41" s="954">
        <f t="shared" si="45"/>
        <v>3.7340000000000022</v>
      </c>
      <c r="U41" s="953">
        <f t="shared" si="45"/>
        <v>31.225000000000001</v>
      </c>
      <c r="V41" s="954">
        <f t="shared" si="45"/>
        <v>-25.963000000000001</v>
      </c>
      <c r="W41" s="954">
        <f t="shared" si="45"/>
        <v>-16.317</v>
      </c>
      <c r="X41" s="954">
        <f t="shared" si="45"/>
        <v>-8.6270000000000007</v>
      </c>
      <c r="Y41" s="954">
        <f t="shared" si="45"/>
        <v>20.079000000000001</v>
      </c>
      <c r="Z41" s="953">
        <f t="shared" si="45"/>
        <v>-30.827999999999999</v>
      </c>
      <c r="AA41" s="954">
        <f t="shared" si="45"/>
        <v>-13.592000000000001</v>
      </c>
      <c r="AB41" s="954">
        <f t="shared" si="45"/>
        <v>58.363</v>
      </c>
      <c r="AC41" s="954">
        <f t="shared" si="45"/>
        <v>31.702000000000002</v>
      </c>
      <c r="AD41" s="954">
        <f t="shared" si="45"/>
        <v>38.681000000000012</v>
      </c>
      <c r="AE41" s="953">
        <f t="shared" si="45"/>
        <v>115.154</v>
      </c>
      <c r="AF41" s="954">
        <f t="shared" si="45"/>
        <v>65.742999999999995</v>
      </c>
      <c r="AG41" s="954">
        <f t="shared" si="45"/>
        <v>-68.028000000000006</v>
      </c>
      <c r="AH41" s="954">
        <f t="shared" si="45"/>
        <v>-7.0039999999999996</v>
      </c>
      <c r="AI41" s="954">
        <f t="shared" ref="AI41:AY41" si="46">INDEX(MO_RIS_OI,0,COLUMN())+INDEX(MO_RIS_OTI,0,COLUMN())</f>
        <v>-32.436</v>
      </c>
      <c r="AJ41" s="953">
        <f t="shared" si="46"/>
        <v>-41.725000000000001</v>
      </c>
      <c r="AK41" s="954">
        <f t="shared" si="46"/>
        <v>-76.103999999999999</v>
      </c>
      <c r="AL41" s="954">
        <f t="shared" si="46"/>
        <v>53.47</v>
      </c>
      <c r="AM41" s="954">
        <f t="shared" si="46"/>
        <v>-192.744</v>
      </c>
      <c r="AN41" s="954">
        <f t="shared" si="46"/>
        <v>131.37799999999999</v>
      </c>
      <c r="AO41" s="953">
        <f t="shared" si="46"/>
        <v>-84</v>
      </c>
      <c r="AP41" s="954">
        <f t="shared" si="46"/>
        <v>-21.696999999999999</v>
      </c>
      <c r="AQ41" s="954">
        <f t="shared" si="46"/>
        <v>133.17500000000001</v>
      </c>
      <c r="AR41" s="954">
        <f>INDEX(MO_RIS_OI,0,COLUMN())+INDEX(MO_RIS_OTI,0,COLUMN())</f>
        <v>256.32400000000001</v>
      </c>
      <c r="AS41" s="954">
        <f>INDEX(MO_RIS_OI,0,COLUMN())+INDEX(MO_RIS_OTI,0,COLUMN())</f>
        <v>250.63900000000001</v>
      </c>
      <c r="AT41" s="953">
        <f>INDEX(MO_RIS_OI,0,COLUMN())+INDEX(MO_RIS_OTI,0,COLUMN())</f>
        <v>618.44100000000003</v>
      </c>
      <c r="AU41" s="954">
        <f t="shared" si="46"/>
        <v>-269.08600000000001</v>
      </c>
      <c r="AV41" s="954">
        <f>INDEX(MO_RIS_OI,0,COLUMN())+INDEX(MO_RIS_OTI,0,COLUMN())</f>
        <v>62.518999999999998</v>
      </c>
      <c r="AW41" s="955">
        <f>INDEX(MO_RIS_OI,0,COLUMN())+INDEX(MO_RIS_OTI,0,COLUMN())</f>
        <v>-96.135000000000005</v>
      </c>
      <c r="AX41" s="954">
        <f t="shared" si="46"/>
        <v>0</v>
      </c>
      <c r="AY41" s="953">
        <f t="shared" si="46"/>
        <v>-302.702</v>
      </c>
      <c r="AZ41" s="954">
        <f t="shared" ref="AZ41:BG41" si="47">INDEX(MO_RIS_OI,0,COLUMN())+INDEX(MO_RIS_OTI,0,COLUMN())</f>
        <v>0</v>
      </c>
      <c r="BA41" s="954">
        <f t="shared" si="47"/>
        <v>0</v>
      </c>
      <c r="BB41" s="954">
        <f t="shared" si="47"/>
        <v>0</v>
      </c>
      <c r="BC41" s="954">
        <f t="shared" si="47"/>
        <v>0</v>
      </c>
      <c r="BD41" s="953">
        <f t="shared" si="47"/>
        <v>0</v>
      </c>
      <c r="BE41" s="953">
        <f t="shared" si="47"/>
        <v>0</v>
      </c>
      <c r="BF41" s="953">
        <f t="shared" si="47"/>
        <v>0</v>
      </c>
      <c r="BG41" s="953">
        <f t="shared" si="47"/>
        <v>0</v>
      </c>
      <c r="BH41" s="841"/>
    </row>
    <row r="42" spans="1:60" customFormat="1" x14ac:dyDescent="0.25">
      <c r="A42" s="252" t="str">
        <f>INDEX(MO_RIS_EBT,0,COLUMN())</f>
        <v>EBT</v>
      </c>
      <c r="B42" s="253"/>
      <c r="C42" s="964">
        <f t="shared" ref="C42:AH42" si="48">INDEX(SP_GF_EBIT,0,COLUMN())-INDEX(SP_GF_IE,0,COLUMN())-INDEX(SP_GF_OI,0,COLUMN())</f>
        <v>192.19200000000004</v>
      </c>
      <c r="D42" s="964">
        <f t="shared" si="48"/>
        <v>267.69600000000003</v>
      </c>
      <c r="E42" s="964">
        <f t="shared" si="48"/>
        <v>359.52200000000016</v>
      </c>
      <c r="F42" s="964">
        <f t="shared" si="48"/>
        <v>30.480000000000103</v>
      </c>
      <c r="G42" s="965">
        <f t="shared" si="48"/>
        <v>0.93000000000002103</v>
      </c>
      <c r="H42" s="965">
        <f t="shared" si="48"/>
        <v>46.649000000000086</v>
      </c>
      <c r="I42" s="965">
        <f t="shared" si="48"/>
        <v>49.491000000000035</v>
      </c>
      <c r="J42" s="965">
        <f t="shared" si="48"/>
        <v>74.00399999999911</v>
      </c>
      <c r="K42" s="964">
        <f t="shared" si="48"/>
        <v>171.07399999999993</v>
      </c>
      <c r="L42" s="965">
        <f t="shared" si="48"/>
        <v>88.943999999999889</v>
      </c>
      <c r="M42" s="965">
        <f t="shared" si="48"/>
        <v>117.37199999999993</v>
      </c>
      <c r="N42" s="965">
        <f t="shared" si="48"/>
        <v>97.537000000000035</v>
      </c>
      <c r="O42" s="965">
        <f t="shared" si="48"/>
        <v>45.515999999999735</v>
      </c>
      <c r="P42" s="964">
        <f t="shared" si="48"/>
        <v>349.3689999999998</v>
      </c>
      <c r="Q42" s="965">
        <f t="shared" si="48"/>
        <v>38.425999999999853</v>
      </c>
      <c r="R42" s="965">
        <f t="shared" si="48"/>
        <v>40.489999999999981</v>
      </c>
      <c r="S42" s="965">
        <f t="shared" si="48"/>
        <v>42.237999999999936</v>
      </c>
      <c r="T42" s="965">
        <f t="shared" si="48"/>
        <v>20.731000000000755</v>
      </c>
      <c r="U42" s="964">
        <f t="shared" si="48"/>
        <v>141.88500000000076</v>
      </c>
      <c r="V42" s="965">
        <f t="shared" si="48"/>
        <v>39.87900000000019</v>
      </c>
      <c r="W42" s="965">
        <f t="shared" si="48"/>
        <v>51.232000000000234</v>
      </c>
      <c r="X42" s="965">
        <f t="shared" si="48"/>
        <v>79.127000000000095</v>
      </c>
      <c r="Y42" s="965">
        <f t="shared" si="48"/>
        <v>90.268999999999352</v>
      </c>
      <c r="Z42" s="964">
        <f t="shared" si="48"/>
        <v>260.50699999999944</v>
      </c>
      <c r="AA42" s="965">
        <f t="shared" si="48"/>
        <v>223.79200000000026</v>
      </c>
      <c r="AB42" s="965">
        <f t="shared" si="48"/>
        <v>13.961999999999975</v>
      </c>
      <c r="AC42" s="965">
        <f t="shared" si="48"/>
        <v>116.23699999999991</v>
      </c>
      <c r="AD42" s="965">
        <f t="shared" si="48"/>
        <v>131.32999999999973</v>
      </c>
      <c r="AE42" s="964">
        <f t="shared" si="48"/>
        <v>485.32099999999969</v>
      </c>
      <c r="AF42" s="965">
        <f t="shared" si="48"/>
        <v>299.6160000000001</v>
      </c>
      <c r="AG42" s="965">
        <f t="shared" si="48"/>
        <v>428.63599999999997</v>
      </c>
      <c r="AH42" s="965">
        <f t="shared" si="48"/>
        <v>378.80999999999983</v>
      </c>
      <c r="AI42" s="965">
        <f t="shared" ref="AI42:BG42" si="49">INDEX(SP_GF_EBIT,0,COLUMN())-INDEX(SP_GF_IE,0,COLUMN())-INDEX(SP_GF_OI,0,COLUMN())</f>
        <v>119.39600000000002</v>
      </c>
      <c r="AJ42" s="964">
        <f t="shared" si="49"/>
        <v>1226.4579999999996</v>
      </c>
      <c r="AK42" s="965">
        <f t="shared" si="49"/>
        <v>399.65900000000005</v>
      </c>
      <c r="AL42" s="965">
        <f t="shared" si="49"/>
        <v>500.91599999999983</v>
      </c>
      <c r="AM42" s="965">
        <f t="shared" si="49"/>
        <v>1012.3229999999999</v>
      </c>
      <c r="AN42" s="965">
        <f t="shared" si="49"/>
        <v>149.33300000000037</v>
      </c>
      <c r="AO42" s="964">
        <f t="shared" si="49"/>
        <v>2062.2310000000007</v>
      </c>
      <c r="AP42" s="965">
        <f t="shared" si="49"/>
        <v>795.86999999999989</v>
      </c>
      <c r="AQ42" s="965">
        <f t="shared" si="49"/>
        <v>1035.6020000000003</v>
      </c>
      <c r="AR42" s="965">
        <f t="shared" si="49"/>
        <v>861.45999999999935</v>
      </c>
      <c r="AS42" s="965">
        <f t="shared" si="49"/>
        <v>506.41700000000378</v>
      </c>
      <c r="AT42" s="964">
        <f t="shared" si="49"/>
        <v>3199.3490000000011</v>
      </c>
      <c r="AU42" s="965">
        <f t="shared" si="49"/>
        <v>2034.5020000000006</v>
      </c>
      <c r="AV42" s="965">
        <f t="shared" si="49"/>
        <v>1593.7890000000004</v>
      </c>
      <c r="AW42" s="966">
        <f t="shared" si="49"/>
        <v>1660.9590000000001</v>
      </c>
      <c r="AX42" s="965">
        <f t="shared" si="49"/>
        <v>357.50110133019211</v>
      </c>
      <c r="AY42" s="964">
        <f t="shared" si="49"/>
        <v>5646.7511013301937</v>
      </c>
      <c r="AZ42" s="965">
        <f t="shared" ca="1" si="49"/>
        <v>2022.2054482244157</v>
      </c>
      <c r="BA42" s="965">
        <f t="shared" ca="1" si="49"/>
        <v>1976.7520933348412</v>
      </c>
      <c r="BB42" s="965">
        <f t="shared" ca="1" si="49"/>
        <v>1984.1534189222659</v>
      </c>
      <c r="BC42" s="965">
        <f t="shared" ca="1" si="49"/>
        <v>1314.0564949471495</v>
      </c>
      <c r="BD42" s="964">
        <f t="shared" ca="1" si="49"/>
        <v>7297.1674554286719</v>
      </c>
      <c r="BE42" s="964">
        <f t="shared" ca="1" si="49"/>
        <v>9501.4658306106066</v>
      </c>
      <c r="BF42" s="964">
        <f t="shared" ca="1" si="49"/>
        <v>12029.993351143037</v>
      </c>
      <c r="BG42" s="964">
        <f t="shared" ca="1" si="49"/>
        <v>15573.299876998948</v>
      </c>
      <c r="BH42" s="839"/>
    </row>
    <row r="43" spans="1:60" customFormat="1" x14ac:dyDescent="0.25">
      <c r="A43" s="250" t="s">
        <v>335</v>
      </c>
      <c r="B43" s="251"/>
      <c r="C43" s="961">
        <f t="shared" ref="C43:AH43" si="50">INDEX(MO_RIS_Tax_Current,0,COLUMN())+INDEX(MO_RIS_Tax_Deferred,0,COLUMN())</f>
        <v>76.331999999999994</v>
      </c>
      <c r="D43" s="961">
        <f t="shared" si="50"/>
        <v>106.843</v>
      </c>
      <c r="E43" s="961">
        <f t="shared" si="50"/>
        <v>133.39599999999999</v>
      </c>
      <c r="F43" s="961">
        <f t="shared" si="50"/>
        <v>13.327999999999999</v>
      </c>
      <c r="G43" s="962">
        <f t="shared" si="50"/>
        <v>-1.7589999999999995</v>
      </c>
      <c r="H43" s="962">
        <f t="shared" si="50"/>
        <v>17.178000000000001</v>
      </c>
      <c r="I43" s="962">
        <f t="shared" si="50"/>
        <v>17.669</v>
      </c>
      <c r="J43" s="962">
        <f t="shared" si="50"/>
        <v>25.582999999999991</v>
      </c>
      <c r="K43" s="961">
        <f t="shared" si="50"/>
        <v>58.671000000000006</v>
      </c>
      <c r="L43" s="962">
        <f t="shared" si="50"/>
        <v>35.829000000000001</v>
      </c>
      <c r="M43" s="962">
        <f t="shared" si="50"/>
        <v>46.353999999999999</v>
      </c>
      <c r="N43" s="962">
        <f t="shared" si="50"/>
        <v>38.242000000000004</v>
      </c>
      <c r="O43" s="962">
        <f t="shared" si="50"/>
        <v>-37.855000000000004</v>
      </c>
      <c r="P43" s="961">
        <f t="shared" si="50"/>
        <v>82.57</v>
      </c>
      <c r="Q43" s="962">
        <f t="shared" si="50"/>
        <v>14.730000000000004</v>
      </c>
      <c r="R43" s="962">
        <f t="shared" si="50"/>
        <v>14.155000000000001</v>
      </c>
      <c r="S43" s="962">
        <f t="shared" si="50"/>
        <v>12.805999999999997</v>
      </c>
      <c r="T43" s="962">
        <f t="shared" si="50"/>
        <v>-22.447000000000003</v>
      </c>
      <c r="U43" s="961">
        <f t="shared" si="50"/>
        <v>19.244</v>
      </c>
      <c r="V43" s="962">
        <f t="shared" si="50"/>
        <v>12.221</v>
      </c>
      <c r="W43" s="962">
        <f t="shared" si="50"/>
        <v>10.477</v>
      </c>
      <c r="X43" s="962">
        <f t="shared" si="50"/>
        <v>27.61</v>
      </c>
      <c r="Y43" s="962">
        <f t="shared" si="50"/>
        <v>23.520999999999987</v>
      </c>
      <c r="Z43" s="961">
        <f t="shared" si="50"/>
        <v>73.828999999999979</v>
      </c>
      <c r="AA43" s="962">
        <f t="shared" si="50"/>
        <v>45.570000000000007</v>
      </c>
      <c r="AB43" s="962">
        <f t="shared" si="50"/>
        <v>-51.637999999999998</v>
      </c>
      <c r="AC43" s="962">
        <f t="shared" si="50"/>
        <v>-13.353000000000002</v>
      </c>
      <c r="AD43" s="962">
        <f t="shared" si="50"/>
        <v>-54.186999999999991</v>
      </c>
      <c r="AE43" s="961">
        <f t="shared" si="50"/>
        <v>-73.608000000000004</v>
      </c>
      <c r="AF43" s="962">
        <f t="shared" si="50"/>
        <v>9.4920000000000009</v>
      </c>
      <c r="AG43" s="962">
        <f t="shared" si="50"/>
        <v>44.286999999999999</v>
      </c>
      <c r="AH43" s="962">
        <f t="shared" si="50"/>
        <v>-24.024999999999999</v>
      </c>
      <c r="AI43" s="962">
        <f t="shared" ref="AI43:AY43" si="51">INDEX(MO_RIS_Tax_Current,0,COLUMN())+INDEX(MO_RIS_Tax_Deferred,0,COLUMN())</f>
        <v>-14.538</v>
      </c>
      <c r="AJ43" s="961">
        <f t="shared" si="51"/>
        <v>15.215999999999994</v>
      </c>
      <c r="AK43" s="962">
        <f t="shared" si="51"/>
        <v>55.606999999999999</v>
      </c>
      <c r="AL43" s="962">
        <f t="shared" si="51"/>
        <v>230.26599999999999</v>
      </c>
      <c r="AM43" s="962">
        <f t="shared" si="51"/>
        <v>347.07900000000001</v>
      </c>
      <c r="AN43" s="962">
        <f t="shared" si="51"/>
        <v>-437.637</v>
      </c>
      <c r="AO43" s="961">
        <f t="shared" si="51"/>
        <v>195.315</v>
      </c>
      <c r="AP43" s="962">
        <f t="shared" si="51"/>
        <v>86.802999999999997</v>
      </c>
      <c r="AQ43" s="962">
        <f t="shared" si="51"/>
        <v>315.40600000000001</v>
      </c>
      <c r="AR43" s="962">
        <f>INDEX(MO_RIS_Tax_Current,0,COLUMN())+INDEX(MO_RIS_Tax_Deferred,0,COLUMN())</f>
        <v>71.483999999999995</v>
      </c>
      <c r="AS43" s="962">
        <f>INDEX(MO_RIS_Tax_Current,0,COLUMN())+INDEX(MO_RIS_Tax_Deferred,0,COLUMN())</f>
        <v>-35.738999999999976</v>
      </c>
      <c r="AT43" s="961">
        <f>INDEX(MO_RIS_Tax_Current,0,COLUMN())+INDEX(MO_RIS_Tax_Deferred,0,COLUMN())</f>
        <v>437.95400000000006</v>
      </c>
      <c r="AU43" s="962">
        <f t="shared" si="51"/>
        <v>327.78699999999998</v>
      </c>
      <c r="AV43" s="962">
        <f>INDEX(MO_RIS_Tax_Current,0,COLUMN())+INDEX(MO_RIS_Tax_Deferred,0,COLUMN())</f>
        <v>240.77600000000001</v>
      </c>
      <c r="AW43" s="963">
        <f>INDEX(MO_RIS_Tax_Current,0,COLUMN())+INDEX(MO_RIS_Tax_Deferred,0,COLUMN())</f>
        <v>211.88800000000001</v>
      </c>
      <c r="AX43" s="962">
        <f t="shared" si="51"/>
        <v>7.150022026603839</v>
      </c>
      <c r="AY43" s="961">
        <f t="shared" si="51"/>
        <v>787.60102202660391</v>
      </c>
      <c r="AZ43" s="962">
        <f t="shared" ref="AZ43:BG43" ca="1" si="52">INDEX(MO_RIS_Tax_Current,0,COLUMN())+INDEX(MO_RIS_Tax_Deferred,0,COLUMN())</f>
        <v>384.21903516263899</v>
      </c>
      <c r="BA43" s="962">
        <f t="shared" ca="1" si="52"/>
        <v>375.5828977336198</v>
      </c>
      <c r="BB43" s="962">
        <f t="shared" ca="1" si="52"/>
        <v>376.98914959523051</v>
      </c>
      <c r="BC43" s="962">
        <f t="shared" ca="1" si="52"/>
        <v>249.67073403995838</v>
      </c>
      <c r="BD43" s="961">
        <f t="shared" ca="1" si="52"/>
        <v>1386.4618165314478</v>
      </c>
      <c r="BE43" s="961">
        <f t="shared" ca="1" si="52"/>
        <v>1805.2785078160155</v>
      </c>
      <c r="BF43" s="961">
        <f t="shared" ca="1" si="52"/>
        <v>2285.6987367171764</v>
      </c>
      <c r="BG43" s="961">
        <f t="shared" ca="1" si="52"/>
        <v>2958.9269766298003</v>
      </c>
      <c r="BH43" s="841"/>
    </row>
    <row r="44" spans="1:60" customFormat="1" x14ac:dyDescent="0.25">
      <c r="A44" s="250" t="str">
        <f>INDEX(MO_RIS_DisCont,0,COLUMN())</f>
        <v>Discontinued Operations</v>
      </c>
      <c r="B44" s="251"/>
      <c r="C44" s="961">
        <f t="shared" ref="C44:AH44" si="53">INDEX(MO_RIS_DisCont,0,COLUMN())</f>
        <v>0</v>
      </c>
      <c r="D44" s="961">
        <f t="shared" si="53"/>
        <v>0</v>
      </c>
      <c r="E44" s="961">
        <f t="shared" si="53"/>
        <v>0</v>
      </c>
      <c r="F44" s="961">
        <f t="shared" si="53"/>
        <v>0</v>
      </c>
      <c r="G44" s="962">
        <f t="shared" si="53"/>
        <v>0</v>
      </c>
      <c r="H44" s="962">
        <f t="shared" si="53"/>
        <v>0</v>
      </c>
      <c r="I44" s="962">
        <f t="shared" si="53"/>
        <v>0</v>
      </c>
      <c r="J44" s="962">
        <f t="shared" si="53"/>
        <v>0</v>
      </c>
      <c r="K44" s="961">
        <f t="shared" si="53"/>
        <v>0</v>
      </c>
      <c r="L44" s="962">
        <f t="shared" si="53"/>
        <v>0</v>
      </c>
      <c r="M44" s="962">
        <f t="shared" si="53"/>
        <v>0</v>
      </c>
      <c r="N44" s="962">
        <f t="shared" si="53"/>
        <v>0</v>
      </c>
      <c r="O44" s="962">
        <f t="shared" si="53"/>
        <v>0</v>
      </c>
      <c r="P44" s="961">
        <f t="shared" si="53"/>
        <v>0</v>
      </c>
      <c r="Q44" s="962">
        <f t="shared" si="53"/>
        <v>0</v>
      </c>
      <c r="R44" s="962">
        <f t="shared" si="53"/>
        <v>0</v>
      </c>
      <c r="S44" s="962">
        <f t="shared" si="53"/>
        <v>0</v>
      </c>
      <c r="T44" s="962">
        <f t="shared" si="53"/>
        <v>0</v>
      </c>
      <c r="U44" s="961">
        <f t="shared" si="53"/>
        <v>0</v>
      </c>
      <c r="V44" s="962">
        <f t="shared" si="53"/>
        <v>0</v>
      </c>
      <c r="W44" s="962">
        <f t="shared" si="53"/>
        <v>0</v>
      </c>
      <c r="X44" s="962">
        <f t="shared" si="53"/>
        <v>0</v>
      </c>
      <c r="Y44" s="962">
        <f t="shared" si="53"/>
        <v>0</v>
      </c>
      <c r="Z44" s="961">
        <f t="shared" si="53"/>
        <v>0</v>
      </c>
      <c r="AA44" s="962">
        <f t="shared" si="53"/>
        <v>0</v>
      </c>
      <c r="AB44" s="962">
        <f t="shared" si="53"/>
        <v>0</v>
      </c>
      <c r="AC44" s="962">
        <f t="shared" si="53"/>
        <v>0</v>
      </c>
      <c r="AD44" s="962">
        <f t="shared" si="53"/>
        <v>0</v>
      </c>
      <c r="AE44" s="961">
        <f t="shared" si="53"/>
        <v>0</v>
      </c>
      <c r="AF44" s="962">
        <f t="shared" si="53"/>
        <v>0</v>
      </c>
      <c r="AG44" s="962">
        <f t="shared" si="53"/>
        <v>0</v>
      </c>
      <c r="AH44" s="962">
        <f t="shared" si="53"/>
        <v>0</v>
      </c>
      <c r="AI44" s="962">
        <f t="shared" ref="AI44:AY44" si="54">INDEX(MO_RIS_DisCont,0,COLUMN())</f>
        <v>0</v>
      </c>
      <c r="AJ44" s="961">
        <f t="shared" si="54"/>
        <v>0</v>
      </c>
      <c r="AK44" s="962">
        <f t="shared" si="54"/>
        <v>0</v>
      </c>
      <c r="AL44" s="962">
        <f t="shared" si="54"/>
        <v>0</v>
      </c>
      <c r="AM44" s="962">
        <f t="shared" si="54"/>
        <v>0</v>
      </c>
      <c r="AN44" s="962">
        <f t="shared" si="54"/>
        <v>0</v>
      </c>
      <c r="AO44" s="961">
        <f t="shared" si="54"/>
        <v>0</v>
      </c>
      <c r="AP44" s="962">
        <f t="shared" si="54"/>
        <v>0</v>
      </c>
      <c r="AQ44" s="962">
        <f t="shared" si="54"/>
        <v>0</v>
      </c>
      <c r="AR44" s="962">
        <f>INDEX(MO_RIS_DisCont,0,COLUMN())</f>
        <v>0</v>
      </c>
      <c r="AS44" s="962">
        <f>INDEX(MO_RIS_DisCont,0,COLUMN())</f>
        <v>0</v>
      </c>
      <c r="AT44" s="961">
        <f>INDEX(MO_RIS_DisCont,0,COLUMN())</f>
        <v>0</v>
      </c>
      <c r="AU44" s="962">
        <f t="shared" si="54"/>
        <v>0</v>
      </c>
      <c r="AV44" s="962">
        <f>INDEX(MO_RIS_DisCont,0,COLUMN())</f>
        <v>0</v>
      </c>
      <c r="AW44" s="963">
        <f>INDEX(MO_RIS_DisCont,0,COLUMN())</f>
        <v>0</v>
      </c>
      <c r="AX44" s="962">
        <f t="shared" si="54"/>
        <v>0</v>
      </c>
      <c r="AY44" s="961">
        <f t="shared" si="54"/>
        <v>0</v>
      </c>
      <c r="AZ44" s="962">
        <f t="shared" ref="AZ44:BG44" si="55">INDEX(MO_RIS_DisCont,0,COLUMN())</f>
        <v>0</v>
      </c>
      <c r="BA44" s="962">
        <f t="shared" si="55"/>
        <v>0</v>
      </c>
      <c r="BB44" s="962">
        <f t="shared" si="55"/>
        <v>0</v>
      </c>
      <c r="BC44" s="962">
        <f t="shared" si="55"/>
        <v>0</v>
      </c>
      <c r="BD44" s="961">
        <f t="shared" si="55"/>
        <v>0</v>
      </c>
      <c r="BE44" s="961">
        <f t="shared" si="55"/>
        <v>0</v>
      </c>
      <c r="BF44" s="961">
        <f t="shared" si="55"/>
        <v>0</v>
      </c>
      <c r="BG44" s="961">
        <f t="shared" si="55"/>
        <v>0</v>
      </c>
      <c r="BH44" s="841"/>
    </row>
    <row r="45" spans="1:60" customFormat="1" x14ac:dyDescent="0.25">
      <c r="A45" s="250" t="str">
        <f>INDEX(MO_RIS_NCI,0,COLUMN())</f>
        <v>Net Income to NCI</v>
      </c>
      <c r="B45" s="251"/>
      <c r="C45" s="961">
        <f t="shared" ref="C45:AH45" si="56">INDEX(MO_RIS_NCI,0,COLUMN())</f>
        <v>0</v>
      </c>
      <c r="D45" s="961">
        <f t="shared" si="56"/>
        <v>0</v>
      </c>
      <c r="E45" s="961">
        <f t="shared" si="56"/>
        <v>0</v>
      </c>
      <c r="F45" s="961">
        <f t="shared" si="56"/>
        <v>0</v>
      </c>
      <c r="G45" s="962">
        <f t="shared" si="56"/>
        <v>0</v>
      </c>
      <c r="H45" s="962">
        <f t="shared" si="56"/>
        <v>0</v>
      </c>
      <c r="I45" s="962">
        <f t="shared" si="56"/>
        <v>0</v>
      </c>
      <c r="J45" s="962">
        <f t="shared" si="56"/>
        <v>0</v>
      </c>
      <c r="K45" s="961">
        <f t="shared" si="56"/>
        <v>0</v>
      </c>
      <c r="L45" s="962">
        <f t="shared" si="56"/>
        <v>0</v>
      </c>
      <c r="M45" s="962">
        <f t="shared" si="56"/>
        <v>0</v>
      </c>
      <c r="N45" s="962">
        <f t="shared" si="56"/>
        <v>0</v>
      </c>
      <c r="O45" s="962">
        <f t="shared" si="56"/>
        <v>0</v>
      </c>
      <c r="P45" s="961">
        <f t="shared" si="56"/>
        <v>0</v>
      </c>
      <c r="Q45" s="962">
        <f t="shared" si="56"/>
        <v>0</v>
      </c>
      <c r="R45" s="962">
        <f t="shared" si="56"/>
        <v>0</v>
      </c>
      <c r="S45" s="962">
        <f t="shared" si="56"/>
        <v>0</v>
      </c>
      <c r="T45" s="962">
        <f t="shared" si="56"/>
        <v>0</v>
      </c>
      <c r="U45" s="961">
        <f t="shared" si="56"/>
        <v>0</v>
      </c>
      <c r="V45" s="962">
        <f t="shared" si="56"/>
        <v>0</v>
      </c>
      <c r="W45" s="962">
        <f t="shared" si="56"/>
        <v>0</v>
      </c>
      <c r="X45" s="962">
        <f t="shared" si="56"/>
        <v>0</v>
      </c>
      <c r="Y45" s="962">
        <f t="shared" si="56"/>
        <v>0</v>
      </c>
      <c r="Z45" s="961">
        <f t="shared" si="56"/>
        <v>0</v>
      </c>
      <c r="AA45" s="962">
        <f t="shared" si="56"/>
        <v>0</v>
      </c>
      <c r="AB45" s="962">
        <f t="shared" si="56"/>
        <v>0</v>
      </c>
      <c r="AC45" s="962">
        <f t="shared" si="56"/>
        <v>0</v>
      </c>
      <c r="AD45" s="962">
        <f t="shared" si="56"/>
        <v>0</v>
      </c>
      <c r="AE45" s="961">
        <f t="shared" si="56"/>
        <v>0</v>
      </c>
      <c r="AF45" s="962">
        <f t="shared" si="56"/>
        <v>0</v>
      </c>
      <c r="AG45" s="962">
        <f t="shared" si="56"/>
        <v>0</v>
      </c>
      <c r="AH45" s="962">
        <f t="shared" si="56"/>
        <v>0</v>
      </c>
      <c r="AI45" s="962">
        <f t="shared" ref="AI45:AY45" si="57">INDEX(MO_RIS_NCI,0,COLUMN())</f>
        <v>0</v>
      </c>
      <c r="AJ45" s="961">
        <f t="shared" si="57"/>
        <v>0</v>
      </c>
      <c r="AK45" s="962">
        <f t="shared" si="57"/>
        <v>0</v>
      </c>
      <c r="AL45" s="962">
        <f t="shared" si="57"/>
        <v>0</v>
      </c>
      <c r="AM45" s="962">
        <f t="shared" si="57"/>
        <v>0</v>
      </c>
      <c r="AN45" s="962">
        <f t="shared" si="57"/>
        <v>0</v>
      </c>
      <c r="AO45" s="961">
        <f t="shared" si="57"/>
        <v>0</v>
      </c>
      <c r="AP45" s="962">
        <f t="shared" si="57"/>
        <v>0</v>
      </c>
      <c r="AQ45" s="962">
        <f t="shared" si="57"/>
        <v>0</v>
      </c>
      <c r="AR45" s="962">
        <f>INDEX(MO_RIS_NCI,0,COLUMN())</f>
        <v>0</v>
      </c>
      <c r="AS45" s="962">
        <f>INDEX(MO_RIS_NCI,0,COLUMN())</f>
        <v>0</v>
      </c>
      <c r="AT45" s="961">
        <f>INDEX(MO_RIS_NCI,0,COLUMN())</f>
        <v>0</v>
      </c>
      <c r="AU45" s="962">
        <f t="shared" si="57"/>
        <v>0</v>
      </c>
      <c r="AV45" s="962">
        <f>INDEX(MO_RIS_NCI,0,COLUMN())</f>
        <v>0</v>
      </c>
      <c r="AW45" s="963">
        <f>INDEX(MO_RIS_NCI,0,COLUMN())</f>
        <v>0</v>
      </c>
      <c r="AX45" s="962">
        <f t="shared" si="57"/>
        <v>0</v>
      </c>
      <c r="AY45" s="961">
        <f t="shared" si="57"/>
        <v>0</v>
      </c>
      <c r="AZ45" s="962">
        <f t="shared" ref="AZ45:BG45" si="58">INDEX(MO_RIS_NCI,0,COLUMN())</f>
        <v>0</v>
      </c>
      <c r="BA45" s="962">
        <f t="shared" si="58"/>
        <v>0</v>
      </c>
      <c r="BB45" s="962">
        <f t="shared" si="58"/>
        <v>0</v>
      </c>
      <c r="BC45" s="962">
        <f t="shared" si="58"/>
        <v>0</v>
      </c>
      <c r="BD45" s="961">
        <f t="shared" si="58"/>
        <v>0</v>
      </c>
      <c r="BE45" s="961">
        <f t="shared" si="58"/>
        <v>0</v>
      </c>
      <c r="BF45" s="961">
        <f t="shared" si="58"/>
        <v>0</v>
      </c>
      <c r="BG45" s="961">
        <f t="shared" si="58"/>
        <v>0</v>
      </c>
      <c r="BH45" s="841"/>
    </row>
    <row r="46" spans="1:60" customFormat="1" x14ac:dyDescent="0.25">
      <c r="A46" s="355" t="str">
        <f>INDEX(MO_RIS_Dividend_Prefs,0,COLUMN())</f>
        <v>Earnings to Preferred and Other Securities</v>
      </c>
      <c r="B46" s="356"/>
      <c r="C46" s="953">
        <f t="shared" ref="C46:AH46" si="59">INDEX(MO_RIS_Dividend_Prefs,0,COLUMN())</f>
        <v>0</v>
      </c>
      <c r="D46" s="953">
        <f t="shared" si="59"/>
        <v>0</v>
      </c>
      <c r="E46" s="953">
        <f t="shared" si="59"/>
        <v>0</v>
      </c>
      <c r="F46" s="953">
        <f t="shared" si="59"/>
        <v>0</v>
      </c>
      <c r="G46" s="954">
        <f t="shared" si="59"/>
        <v>0</v>
      </c>
      <c r="H46" s="954">
        <f t="shared" si="59"/>
        <v>0</v>
      </c>
      <c r="I46" s="954">
        <f t="shared" si="59"/>
        <v>0</v>
      </c>
      <c r="J46" s="954">
        <f t="shared" si="59"/>
        <v>0</v>
      </c>
      <c r="K46" s="953">
        <f t="shared" si="59"/>
        <v>0</v>
      </c>
      <c r="L46" s="954">
        <f t="shared" si="59"/>
        <v>0</v>
      </c>
      <c r="M46" s="954">
        <f t="shared" si="59"/>
        <v>0</v>
      </c>
      <c r="N46" s="954">
        <f t="shared" si="59"/>
        <v>0</v>
      </c>
      <c r="O46" s="954">
        <f t="shared" si="59"/>
        <v>0</v>
      </c>
      <c r="P46" s="953">
        <f t="shared" si="59"/>
        <v>0</v>
      </c>
      <c r="Q46" s="954">
        <f t="shared" si="59"/>
        <v>0</v>
      </c>
      <c r="R46" s="954">
        <f t="shared" si="59"/>
        <v>0</v>
      </c>
      <c r="S46" s="954">
        <f t="shared" si="59"/>
        <v>0</v>
      </c>
      <c r="T46" s="954">
        <f t="shared" si="59"/>
        <v>0</v>
      </c>
      <c r="U46" s="953">
        <f t="shared" si="59"/>
        <v>0</v>
      </c>
      <c r="V46" s="954">
        <f t="shared" si="59"/>
        <v>0</v>
      </c>
      <c r="W46" s="954">
        <f t="shared" si="59"/>
        <v>0</v>
      </c>
      <c r="X46" s="954">
        <f t="shared" si="59"/>
        <v>0</v>
      </c>
      <c r="Y46" s="954">
        <f t="shared" si="59"/>
        <v>0</v>
      </c>
      <c r="Z46" s="953">
        <f t="shared" si="59"/>
        <v>0</v>
      </c>
      <c r="AA46" s="954">
        <f t="shared" si="59"/>
        <v>0</v>
      </c>
      <c r="AB46" s="954">
        <f t="shared" si="59"/>
        <v>0</v>
      </c>
      <c r="AC46" s="954">
        <f t="shared" si="59"/>
        <v>0</v>
      </c>
      <c r="AD46" s="954">
        <f t="shared" si="59"/>
        <v>0</v>
      </c>
      <c r="AE46" s="953">
        <f t="shared" si="59"/>
        <v>0</v>
      </c>
      <c r="AF46" s="954">
        <f t="shared" si="59"/>
        <v>0</v>
      </c>
      <c r="AG46" s="954">
        <f t="shared" si="59"/>
        <v>0</v>
      </c>
      <c r="AH46" s="954">
        <f t="shared" si="59"/>
        <v>0</v>
      </c>
      <c r="AI46" s="954">
        <f t="shared" ref="AI46:AY46" si="60">INDEX(MO_RIS_Dividend_Prefs,0,COLUMN())</f>
        <v>0</v>
      </c>
      <c r="AJ46" s="953">
        <f t="shared" si="60"/>
        <v>0</v>
      </c>
      <c r="AK46" s="954">
        <f t="shared" si="60"/>
        <v>0</v>
      </c>
      <c r="AL46" s="954">
        <f t="shared" si="60"/>
        <v>0</v>
      </c>
      <c r="AM46" s="954">
        <f t="shared" si="60"/>
        <v>0</v>
      </c>
      <c r="AN46" s="954">
        <f t="shared" si="60"/>
        <v>0</v>
      </c>
      <c r="AO46" s="953">
        <f t="shared" si="60"/>
        <v>0</v>
      </c>
      <c r="AP46" s="954">
        <f t="shared" si="60"/>
        <v>0</v>
      </c>
      <c r="AQ46" s="954">
        <f t="shared" si="60"/>
        <v>0</v>
      </c>
      <c r="AR46" s="954">
        <f>INDEX(MO_RIS_Dividend_Prefs,0,COLUMN())</f>
        <v>0</v>
      </c>
      <c r="AS46" s="954">
        <f>INDEX(MO_RIS_Dividend_Prefs,0,COLUMN())</f>
        <v>0</v>
      </c>
      <c r="AT46" s="953">
        <f>INDEX(MO_RIS_Dividend_Prefs,0,COLUMN())</f>
        <v>0</v>
      </c>
      <c r="AU46" s="954">
        <f t="shared" si="60"/>
        <v>0</v>
      </c>
      <c r="AV46" s="954">
        <f>INDEX(MO_RIS_Dividend_Prefs,0,COLUMN())</f>
        <v>0</v>
      </c>
      <c r="AW46" s="955">
        <f>INDEX(MO_RIS_Dividend_Prefs,0,COLUMN())</f>
        <v>0</v>
      </c>
      <c r="AX46" s="954">
        <f t="shared" si="60"/>
        <v>0</v>
      </c>
      <c r="AY46" s="953">
        <f t="shared" si="60"/>
        <v>0</v>
      </c>
      <c r="AZ46" s="954">
        <f t="shared" ref="AZ46:BG46" si="61">INDEX(MO_RIS_Dividend_Prefs,0,COLUMN())</f>
        <v>0</v>
      </c>
      <c r="BA46" s="954">
        <f t="shared" si="61"/>
        <v>0</v>
      </c>
      <c r="BB46" s="954">
        <f t="shared" si="61"/>
        <v>0</v>
      </c>
      <c r="BC46" s="954">
        <f t="shared" si="61"/>
        <v>0</v>
      </c>
      <c r="BD46" s="953">
        <f t="shared" si="61"/>
        <v>0</v>
      </c>
      <c r="BE46" s="953">
        <f t="shared" si="61"/>
        <v>0</v>
      </c>
      <c r="BF46" s="953">
        <f t="shared" si="61"/>
        <v>0</v>
      </c>
      <c r="BG46" s="953">
        <f t="shared" si="61"/>
        <v>0</v>
      </c>
      <c r="BH46" s="841"/>
    </row>
    <row r="47" spans="1:60" customFormat="1" x14ac:dyDescent="0.25">
      <c r="A47" s="252" t="str">
        <f>INDEX(MO_RIS_NI_ContinOp,0,COLUMN())</f>
        <v>Net Income from Continued Operation</v>
      </c>
      <c r="B47" s="253"/>
      <c r="C47" s="964">
        <f t="shared" ref="C47:AH47" si="62">INDEX(SP_GF_EBT,0,COLUMN())-INDEX(SP_GF_Tax,0,COLUMN())-INDEX(SP_GF_DisCont,0,COLUMN())-INDEX(SP_GF_NCI,0,COLUMN())-INDEX(SP_GF_Div_Prefs,0,COLUMN())</f>
        <v>115.86000000000004</v>
      </c>
      <c r="D47" s="964">
        <f t="shared" si="62"/>
        <v>160.85300000000001</v>
      </c>
      <c r="E47" s="964">
        <f t="shared" si="62"/>
        <v>226.12600000000018</v>
      </c>
      <c r="F47" s="964">
        <f t="shared" si="62"/>
        <v>17.152000000000104</v>
      </c>
      <c r="G47" s="965">
        <f t="shared" si="62"/>
        <v>2.6890000000000205</v>
      </c>
      <c r="H47" s="965">
        <f t="shared" si="62"/>
        <v>29.471000000000085</v>
      </c>
      <c r="I47" s="965">
        <f t="shared" si="62"/>
        <v>31.822000000000035</v>
      </c>
      <c r="J47" s="965">
        <f t="shared" si="62"/>
        <v>48.420999999999118</v>
      </c>
      <c r="K47" s="964">
        <f t="shared" si="62"/>
        <v>112.40299999999992</v>
      </c>
      <c r="L47" s="965">
        <f t="shared" si="62"/>
        <v>53.114999999999888</v>
      </c>
      <c r="M47" s="965">
        <f t="shared" si="62"/>
        <v>71.01799999999993</v>
      </c>
      <c r="N47" s="965">
        <f t="shared" si="62"/>
        <v>59.29500000000003</v>
      </c>
      <c r="O47" s="965">
        <f t="shared" si="62"/>
        <v>83.370999999999739</v>
      </c>
      <c r="P47" s="964">
        <f t="shared" si="62"/>
        <v>266.79899999999981</v>
      </c>
      <c r="Q47" s="965">
        <f t="shared" si="62"/>
        <v>23.695999999999849</v>
      </c>
      <c r="R47" s="965">
        <f t="shared" si="62"/>
        <v>26.33499999999998</v>
      </c>
      <c r="S47" s="965">
        <f t="shared" si="62"/>
        <v>29.431999999999938</v>
      </c>
      <c r="T47" s="965">
        <f t="shared" si="62"/>
        <v>43.178000000000758</v>
      </c>
      <c r="U47" s="964">
        <f t="shared" si="62"/>
        <v>122.64100000000076</v>
      </c>
      <c r="V47" s="965">
        <f t="shared" si="62"/>
        <v>27.65800000000019</v>
      </c>
      <c r="W47" s="965">
        <f t="shared" si="62"/>
        <v>40.755000000000237</v>
      </c>
      <c r="X47" s="965">
        <f t="shared" si="62"/>
        <v>51.517000000000095</v>
      </c>
      <c r="Y47" s="965">
        <f t="shared" si="62"/>
        <v>66.747999999999365</v>
      </c>
      <c r="Z47" s="964">
        <f t="shared" si="62"/>
        <v>186.67799999999946</v>
      </c>
      <c r="AA47" s="965">
        <f t="shared" si="62"/>
        <v>178.22200000000026</v>
      </c>
      <c r="AB47" s="965">
        <f t="shared" si="62"/>
        <v>65.599999999999966</v>
      </c>
      <c r="AC47" s="965">
        <f t="shared" si="62"/>
        <v>129.58999999999992</v>
      </c>
      <c r="AD47" s="965">
        <f t="shared" si="62"/>
        <v>185.51699999999971</v>
      </c>
      <c r="AE47" s="964">
        <f t="shared" si="62"/>
        <v>558.92899999999963</v>
      </c>
      <c r="AF47" s="965">
        <f t="shared" si="62"/>
        <v>290.12400000000008</v>
      </c>
      <c r="AG47" s="965">
        <f t="shared" si="62"/>
        <v>384.34899999999999</v>
      </c>
      <c r="AH47" s="965">
        <f t="shared" si="62"/>
        <v>402.83499999999981</v>
      </c>
      <c r="AI47" s="965">
        <f t="shared" ref="AI47:AY47" si="63">INDEX(SP_GF_EBT,0,COLUMN())-INDEX(SP_GF_Tax,0,COLUMN())-INDEX(SP_GF_DisCont,0,COLUMN())-INDEX(SP_GF_NCI,0,COLUMN())-INDEX(SP_GF_Div_Prefs,0,COLUMN())</f>
        <v>133.93400000000003</v>
      </c>
      <c r="AJ47" s="964">
        <f t="shared" si="63"/>
        <v>1211.2419999999997</v>
      </c>
      <c r="AK47" s="965">
        <f t="shared" si="63"/>
        <v>344.05200000000002</v>
      </c>
      <c r="AL47" s="965">
        <f t="shared" si="63"/>
        <v>270.64999999999986</v>
      </c>
      <c r="AM47" s="965">
        <f t="shared" si="63"/>
        <v>665.24399999999991</v>
      </c>
      <c r="AN47" s="965">
        <f t="shared" si="63"/>
        <v>586.97000000000037</v>
      </c>
      <c r="AO47" s="964">
        <f t="shared" si="63"/>
        <v>1866.9160000000006</v>
      </c>
      <c r="AP47" s="965">
        <f t="shared" si="63"/>
        <v>709.06699999999989</v>
      </c>
      <c r="AQ47" s="965">
        <f t="shared" si="63"/>
        <v>720.19600000000037</v>
      </c>
      <c r="AR47" s="965">
        <f>INDEX(SP_GF_EBT,0,COLUMN())-INDEX(SP_GF_Tax,0,COLUMN())-INDEX(SP_GF_DisCont,0,COLUMN())-INDEX(SP_GF_NCI,0,COLUMN())-INDEX(SP_GF_Div_Prefs,0,COLUMN())</f>
        <v>789.97599999999932</v>
      </c>
      <c r="AS47" s="965">
        <f>INDEX(SP_GF_EBT,0,COLUMN())-INDEX(SP_GF_Tax,0,COLUMN())-INDEX(SP_GF_DisCont,0,COLUMN())-INDEX(SP_GF_NCI,0,COLUMN())-INDEX(SP_GF_Div_Prefs,0,COLUMN())</f>
        <v>542.15600000000381</v>
      </c>
      <c r="AT47" s="964">
        <f>INDEX(SP_GF_EBT,0,COLUMN())-INDEX(SP_GF_Tax,0,COLUMN())-INDEX(SP_GF_DisCont,0,COLUMN())-INDEX(SP_GF_NCI,0,COLUMN())-INDEX(SP_GF_Div_Prefs,0,COLUMN())</f>
        <v>2761.3950000000009</v>
      </c>
      <c r="AU47" s="965">
        <f t="shared" si="63"/>
        <v>1706.7150000000006</v>
      </c>
      <c r="AV47" s="965">
        <f>INDEX(SP_GF_EBT,0,COLUMN())-INDEX(SP_GF_Tax,0,COLUMN())-INDEX(SP_GF_DisCont,0,COLUMN())-INDEX(SP_GF_NCI,0,COLUMN())-INDEX(SP_GF_Div_Prefs,0,COLUMN())</f>
        <v>1353.0130000000004</v>
      </c>
      <c r="AW47" s="966">
        <f>INDEX(SP_GF_EBT,0,COLUMN())-INDEX(SP_GF_Tax,0,COLUMN())-INDEX(SP_GF_DisCont,0,COLUMN())-INDEX(SP_GF_NCI,0,COLUMN())-INDEX(SP_GF_Div_Prefs,0,COLUMN())</f>
        <v>1449.0710000000001</v>
      </c>
      <c r="AX47" s="965">
        <f t="shared" si="63"/>
        <v>350.35107930358828</v>
      </c>
      <c r="AY47" s="964">
        <f t="shared" si="63"/>
        <v>4859.1500793035902</v>
      </c>
      <c r="AZ47" s="965">
        <f t="shared" ref="AZ47:BG47" ca="1" si="64">INDEX(SP_GF_EBT,0,COLUMN())-INDEX(SP_GF_Tax,0,COLUMN())-INDEX(SP_GF_DisCont,0,COLUMN())-INDEX(SP_GF_NCI,0,COLUMN())-INDEX(SP_GF_Div_Prefs,0,COLUMN())</f>
        <v>1637.9864130617766</v>
      </c>
      <c r="BA47" s="965">
        <f t="shared" ca="1" si="64"/>
        <v>1601.1691956012214</v>
      </c>
      <c r="BB47" s="965">
        <f t="shared" ca="1" si="64"/>
        <v>1607.1642693270355</v>
      </c>
      <c r="BC47" s="965">
        <f t="shared" ca="1" si="64"/>
        <v>1064.3857609071911</v>
      </c>
      <c r="BD47" s="964">
        <f t="shared" ca="1" si="64"/>
        <v>5910.7056388972242</v>
      </c>
      <c r="BE47" s="964">
        <f t="shared" ca="1" si="64"/>
        <v>7696.1873227945907</v>
      </c>
      <c r="BF47" s="964">
        <f t="shared" ca="1" si="64"/>
        <v>9744.2946144258603</v>
      </c>
      <c r="BG47" s="964">
        <f t="shared" ca="1" si="64"/>
        <v>12614.372900369148</v>
      </c>
      <c r="BH47" s="839"/>
    </row>
    <row r="48" spans="1:60" customFormat="1" x14ac:dyDescent="0.25">
      <c r="A48" s="256" t="s">
        <v>336</v>
      </c>
      <c r="B48" s="257"/>
      <c r="C48" s="119">
        <f t="shared" ref="C48:AH48" si="65">INDEX(SP_GF_NI,0,COLUMN())/INDEX(SP_CS_ShareCount,0,COLUMN())</f>
        <v>0.2833372461556522</v>
      </c>
      <c r="D48" s="119">
        <f t="shared" si="65"/>
        <v>0.42315483205657045</v>
      </c>
      <c r="E48" s="119">
        <f t="shared" si="65"/>
        <v>0.5941568593447426</v>
      </c>
      <c r="F48" s="119">
        <f t="shared" si="65"/>
        <v>4.1597951145690086E-2</v>
      </c>
      <c r="G48" s="120">
        <f t="shared" si="65"/>
        <v>6.3868396425840468E-3</v>
      </c>
      <c r="H48" s="120">
        <f t="shared" si="65"/>
        <v>6.9485770872138461E-2</v>
      </c>
      <c r="I48" s="120">
        <f t="shared" si="65"/>
        <v>7.4536809313002217E-2</v>
      </c>
      <c r="J48" s="120">
        <f t="shared" si="65"/>
        <v>0.1128357972446429</v>
      </c>
      <c r="K48" s="119">
        <f t="shared" si="65"/>
        <v>0.26427431129460371</v>
      </c>
      <c r="L48" s="120">
        <f t="shared" si="65"/>
        <v>0.1232835696181375</v>
      </c>
      <c r="M48" s="120">
        <f t="shared" si="65"/>
        <v>0.16460651630234477</v>
      </c>
      <c r="N48" s="120">
        <f t="shared" si="65"/>
        <v>0.1370215971641302</v>
      </c>
      <c r="O48" s="120">
        <f t="shared" si="65"/>
        <v>0.1927590783188515</v>
      </c>
      <c r="P48" s="119">
        <f t="shared" si="65"/>
        <v>0.61774185332512099</v>
      </c>
      <c r="Q48" s="120">
        <f t="shared" si="65"/>
        <v>5.4622865718019713E-2</v>
      </c>
      <c r="R48" s="120">
        <f t="shared" si="65"/>
        <v>6.038794121491315E-2</v>
      </c>
      <c r="S48" s="120">
        <f t="shared" si="65"/>
        <v>6.7256847483809501E-2</v>
      </c>
      <c r="T48" s="120">
        <f t="shared" si="65"/>
        <v>9.8522100046321587E-2</v>
      </c>
      <c r="U48" s="119">
        <f t="shared" si="65"/>
        <v>0.28099281485419092</v>
      </c>
      <c r="V48" s="120">
        <f t="shared" si="65"/>
        <v>6.314712792213617E-2</v>
      </c>
      <c r="W48" s="120">
        <f t="shared" si="65"/>
        <v>9.3015241216559102E-2</v>
      </c>
      <c r="X48" s="120">
        <f t="shared" si="65"/>
        <v>0.11751435369044409</v>
      </c>
      <c r="Y48" s="120">
        <f t="shared" si="65"/>
        <v>0.15167828242774187</v>
      </c>
      <c r="Z48" s="119">
        <f t="shared" si="65"/>
        <v>0.42557197961025928</v>
      </c>
      <c r="AA48" s="120">
        <f t="shared" si="65"/>
        <v>0.40008710136533693</v>
      </c>
      <c r="AB48" s="120">
        <f t="shared" si="65"/>
        <v>0.14699884821024414</v>
      </c>
      <c r="AC48" s="120">
        <f t="shared" si="65"/>
        <v>0.28967592240735673</v>
      </c>
      <c r="AD48" s="120">
        <f t="shared" si="65"/>
        <v>0.41396923296633592</v>
      </c>
      <c r="AE48" s="119">
        <f t="shared" si="65"/>
        <v>1.250920964875764</v>
      </c>
      <c r="AF48" s="120">
        <f t="shared" si="65"/>
        <v>0.64420606671566483</v>
      </c>
      <c r="AG48" s="120">
        <f t="shared" si="65"/>
        <v>0.85117328679753379</v>
      </c>
      <c r="AH48" s="120">
        <f t="shared" si="65"/>
        <v>0.89138761592232196</v>
      </c>
      <c r="AI48" s="120">
        <f t="shared" ref="AI48:AY48" si="66">INDEX(SP_GF_NI,0,COLUMN())/INDEX(SP_CS_ShareCount,0,COLUMN())</f>
        <v>0.29689481197740719</v>
      </c>
      <c r="AJ48" s="119">
        <f t="shared" si="66"/>
        <v>2.6842284883566312</v>
      </c>
      <c r="AK48" s="120">
        <f t="shared" si="66"/>
        <v>0.76130836737313079</v>
      </c>
      <c r="AL48" s="120">
        <f t="shared" si="66"/>
        <v>0.59852497263348747</v>
      </c>
      <c r="AM48" s="120">
        <f t="shared" si="66"/>
        <v>1.4732389625115156</v>
      </c>
      <c r="AN48" s="120">
        <f t="shared" si="66"/>
        <v>1.3004273684163892</v>
      </c>
      <c r="AO48" s="119">
        <f t="shared" si="66"/>
        <v>4.1324936637411058</v>
      </c>
      <c r="AP48" s="120">
        <f t="shared" si="66"/>
        <v>1.5670196731890365</v>
      </c>
      <c r="AQ48" s="120">
        <f t="shared" si="66"/>
        <v>1.5865270021698672</v>
      </c>
      <c r="AR48" s="120">
        <f>INDEX(SP_GF_NI,0,COLUMN())/INDEX(SP_CS_ShareCount,0,COLUMN())</f>
        <v>1.7358752592905093</v>
      </c>
      <c r="AS48" s="120">
        <f>INDEX(SP_GF_NI,0,COLUMN())/INDEX(SP_CS_ShareCount,0,COLUMN())</f>
        <v>1.1908109900874924</v>
      </c>
      <c r="AT48" s="119">
        <f>INDEX(SP_GF_NI,0,COLUMN())/INDEX(SP_CS_ShareCount,0,COLUMN())</f>
        <v>6.079582482034664</v>
      </c>
      <c r="AU48" s="120">
        <f t="shared" si="66"/>
        <v>3.7457450053880148</v>
      </c>
      <c r="AV48" s="120">
        <f>INDEX(SP_GF_NI,0,COLUMN())/INDEX(SP_CS_ShareCount,0,COLUMN())</f>
        <v>2.972812103821115</v>
      </c>
      <c r="AW48" s="618">
        <f>INDEX(SP_GF_NI,0,COLUMN())/INDEX(SP_CS_ShareCount,0,COLUMN())</f>
        <v>3.1852964774413368</v>
      </c>
      <c r="AX48" s="120">
        <f t="shared" ca="1" si="66"/>
        <v>0.77012931648862615</v>
      </c>
      <c r="AY48" s="119">
        <f t="shared" ca="1" si="66"/>
        <v>10.675813908017249</v>
      </c>
      <c r="AZ48" s="120">
        <f t="shared" ref="AZ48:BG48" ca="1" si="67">INDEX(SP_GF_NI,0,COLUMN())/INDEX(SP_CS_ShareCount,0,COLUMN())</f>
        <v>3.6005636380980963</v>
      </c>
      <c r="BA48" s="120">
        <f t="shared" ca="1" si="67"/>
        <v>3.5196333364867205</v>
      </c>
      <c r="BB48" s="120">
        <f t="shared" ca="1" si="67"/>
        <v>3.5328114949212188</v>
      </c>
      <c r="BC48" s="120">
        <f t="shared" ca="1" si="67"/>
        <v>2.3396950286469003</v>
      </c>
      <c r="BD48" s="119">
        <f t="shared" ca="1" si="67"/>
        <v>12.992703498152935</v>
      </c>
      <c r="BE48" s="119">
        <f t="shared" ca="1" si="67"/>
        <v>16.917486009330307</v>
      </c>
      <c r="BF48" s="119">
        <f t="shared" ca="1" si="67"/>
        <v>21.419562816784875</v>
      </c>
      <c r="BG48" s="119">
        <f t="shared" ca="1" si="67"/>
        <v>27.728467110774627</v>
      </c>
      <c r="BH48" s="120"/>
    </row>
    <row r="49" spans="1:60" customFormat="1" x14ac:dyDescent="0.25">
      <c r="A49" s="250"/>
      <c r="B49" s="251"/>
      <c r="C49" s="961"/>
      <c r="D49" s="961"/>
      <c r="E49" s="961"/>
      <c r="F49" s="961"/>
      <c r="G49" s="962"/>
      <c r="H49" s="962"/>
      <c r="I49" s="962"/>
      <c r="J49" s="962"/>
      <c r="K49" s="961"/>
      <c r="L49" s="962"/>
      <c r="M49" s="962"/>
      <c r="N49" s="962"/>
      <c r="O49" s="962"/>
      <c r="P49" s="961"/>
      <c r="Q49" s="962"/>
      <c r="R49" s="962"/>
      <c r="S49" s="962"/>
      <c r="T49" s="962"/>
      <c r="U49" s="961"/>
      <c r="V49" s="962"/>
      <c r="W49" s="962"/>
      <c r="X49" s="962"/>
      <c r="Y49" s="962"/>
      <c r="Z49" s="961"/>
      <c r="AA49" s="962"/>
      <c r="AB49" s="962"/>
      <c r="AC49" s="962"/>
      <c r="AD49" s="962"/>
      <c r="AE49" s="961"/>
      <c r="AF49" s="962"/>
      <c r="AG49" s="962"/>
      <c r="AH49" s="962"/>
      <c r="AI49" s="962"/>
      <c r="AJ49" s="961"/>
      <c r="AK49" s="962"/>
      <c r="AL49" s="962"/>
      <c r="AM49" s="962"/>
      <c r="AN49" s="962"/>
      <c r="AO49" s="961"/>
      <c r="AP49" s="962"/>
      <c r="AQ49" s="962"/>
      <c r="AR49" s="962"/>
      <c r="AS49" s="962"/>
      <c r="AT49" s="961"/>
      <c r="AU49" s="962"/>
      <c r="AV49" s="962"/>
      <c r="AW49" s="963"/>
      <c r="AX49" s="962"/>
      <c r="AY49" s="961"/>
      <c r="AZ49" s="962"/>
      <c r="BA49" s="962"/>
      <c r="BB49" s="962"/>
      <c r="BC49" s="962"/>
      <c r="BD49" s="961"/>
      <c r="BE49" s="961"/>
      <c r="BF49" s="961"/>
      <c r="BG49" s="961"/>
      <c r="BH49" s="841"/>
    </row>
    <row r="50" spans="1:60" customFormat="1" x14ac:dyDescent="0.25">
      <c r="A50" s="156" t="s">
        <v>337</v>
      </c>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c r="AF50" s="157"/>
      <c r="AG50" s="157"/>
      <c r="AH50" s="157"/>
      <c r="AI50" s="157"/>
      <c r="AJ50" s="157"/>
      <c r="AK50" s="157"/>
      <c r="AL50" s="157"/>
      <c r="AM50" s="157"/>
      <c r="AN50" s="157"/>
      <c r="AO50" s="157"/>
      <c r="AP50" s="157"/>
      <c r="AQ50" s="157"/>
      <c r="AR50" s="157"/>
      <c r="AS50" s="157"/>
      <c r="AT50" s="157"/>
      <c r="AU50" s="157"/>
      <c r="AV50" s="157"/>
      <c r="AW50" s="619"/>
      <c r="AX50" s="157"/>
      <c r="AY50" s="157"/>
      <c r="AZ50" s="157"/>
      <c r="BA50" s="157"/>
      <c r="BB50" s="157"/>
      <c r="BC50" s="157"/>
      <c r="BD50" s="157"/>
      <c r="BE50" s="157"/>
      <c r="BF50" s="157"/>
      <c r="BG50" s="157"/>
      <c r="BH50" s="239"/>
    </row>
    <row r="51" spans="1:60" customFormat="1" x14ac:dyDescent="0.25">
      <c r="A51" s="249" t="str">
        <f>INDEX(MO_RIS_EBITDA_Adj,0,COLUMN())</f>
        <v>Adjusted EBITDA (No Adjustments)</v>
      </c>
      <c r="B51" s="254"/>
      <c r="C51" s="956">
        <f t="shared" ref="C51:AH51" si="68">INDEX(MO_RIS_EBITDA_Adj,0,COLUMN())</f>
        <v>242.60100000000003</v>
      </c>
      <c r="D51" s="956">
        <f t="shared" si="68"/>
        <v>349.73599999999999</v>
      </c>
      <c r="E51" s="956">
        <f t="shared" si="68"/>
        <v>481.39700000000011</v>
      </c>
      <c r="F51" s="956">
        <f t="shared" si="68"/>
        <v>169.40900000000019</v>
      </c>
      <c r="G51" s="957">
        <f t="shared" si="68"/>
        <v>61.619000000000028</v>
      </c>
      <c r="H51" s="957">
        <f t="shared" si="68"/>
        <v>87.09800000000007</v>
      </c>
      <c r="I51" s="957">
        <f t="shared" si="68"/>
        <v>87.049000000000063</v>
      </c>
      <c r="J51" s="957">
        <f t="shared" si="68"/>
        <v>114.0549999999991</v>
      </c>
      <c r="K51" s="956">
        <f t="shared" si="68"/>
        <v>349.82099999999997</v>
      </c>
      <c r="L51" s="957">
        <f t="shared" si="68"/>
        <v>135.80199999999991</v>
      </c>
      <c r="M51" s="957">
        <f t="shared" si="68"/>
        <v>171.86199999999997</v>
      </c>
      <c r="N51" s="957">
        <f t="shared" si="68"/>
        <v>154.64200000000005</v>
      </c>
      <c r="O51" s="957">
        <f t="shared" si="68"/>
        <v>109.60899999999971</v>
      </c>
      <c r="P51" s="956">
        <f t="shared" si="68"/>
        <v>571.91499999999974</v>
      </c>
      <c r="Q51" s="957">
        <f t="shared" si="68"/>
        <v>140.06399999999979</v>
      </c>
      <c r="R51" s="957">
        <f t="shared" si="68"/>
        <v>119.00599999999999</v>
      </c>
      <c r="S51" s="957">
        <f t="shared" si="68"/>
        <v>122.52199999999991</v>
      </c>
      <c r="T51" s="957">
        <f t="shared" si="68"/>
        <v>111.24200000000077</v>
      </c>
      <c r="U51" s="956">
        <f t="shared" si="68"/>
        <v>492.83400000000069</v>
      </c>
      <c r="V51" s="957">
        <f t="shared" si="68"/>
        <v>106.67300000000014</v>
      </c>
      <c r="W51" s="957">
        <f t="shared" si="68"/>
        <v>128.61300000000026</v>
      </c>
      <c r="X51" s="957">
        <f t="shared" si="68"/>
        <v>163.94100000000003</v>
      </c>
      <c r="Y51" s="957">
        <f t="shared" si="68"/>
        <v>211.76899999999927</v>
      </c>
      <c r="Z51" s="956">
        <f t="shared" si="68"/>
        <v>610.99599999999964</v>
      </c>
      <c r="AA51" s="957">
        <f t="shared" si="68"/>
        <v>316.87900000000025</v>
      </c>
      <c r="AB51" s="957">
        <f t="shared" si="68"/>
        <v>190.386</v>
      </c>
      <c r="AC51" s="957">
        <f t="shared" si="68"/>
        <v>272.62799999999982</v>
      </c>
      <c r="AD51" s="957">
        <f t="shared" si="68"/>
        <v>312.90599999999984</v>
      </c>
      <c r="AE51" s="956">
        <f t="shared" si="68"/>
        <v>1092.7989999999998</v>
      </c>
      <c r="AF51" s="957">
        <f t="shared" si="68"/>
        <v>534.01400000000012</v>
      </c>
      <c r="AG51" s="957">
        <f t="shared" si="68"/>
        <v>563.18099999999993</v>
      </c>
      <c r="AH51" s="957">
        <f t="shared" si="68"/>
        <v>584.14499999999975</v>
      </c>
      <c r="AI51" s="957">
        <f t="shared" ref="AI51:AY51" si="69">INDEX(MO_RIS_EBITDA_Adj,0,COLUMN())</f>
        <v>327.70000000000005</v>
      </c>
      <c r="AJ51" s="956">
        <f t="shared" si="69"/>
        <v>2009.0399999999995</v>
      </c>
      <c r="AK51" s="957">
        <f t="shared" si="69"/>
        <v>583.84500000000025</v>
      </c>
      <c r="AL51" s="957">
        <f t="shared" si="69"/>
        <v>835.76299999999981</v>
      </c>
      <c r="AM51" s="957">
        <f t="shared" si="69"/>
        <v>1107.2049999999997</v>
      </c>
      <c r="AN51" s="957">
        <f t="shared" si="69"/>
        <v>586.3960000000003</v>
      </c>
      <c r="AO51" s="956">
        <f t="shared" si="69"/>
        <v>3113.2090000000007</v>
      </c>
      <c r="AP51" s="957">
        <f t="shared" si="69"/>
        <v>1083.7919999999999</v>
      </c>
      <c r="AQ51" s="957">
        <f t="shared" si="69"/>
        <v>1488.7990000000004</v>
      </c>
      <c r="AR51" s="957">
        <f>INDEX(MO_RIS_EBITDA_Adj,0,COLUMN())</f>
        <v>1449.8089999999993</v>
      </c>
      <c r="AS51" s="957">
        <f>INDEX(MO_RIS_EBITDA_Adj,0,COLUMN())</f>
        <v>1093.7790000000034</v>
      </c>
      <c r="AT51" s="956">
        <f>INDEX(MO_RIS_EBITDA_Adj,0,COLUMN())</f>
        <v>5116.179000000001</v>
      </c>
      <c r="AU51" s="957">
        <f t="shared" si="69"/>
        <v>2102.8270000000002</v>
      </c>
      <c r="AV51" s="957">
        <f>INDEX(MO_RIS_EBITDA_Adj,0,COLUMN())</f>
        <v>1987.6470000000004</v>
      </c>
      <c r="AW51" s="958">
        <f>INDEX(MO_RIS_EBITDA_Adj,0,COLUMN())</f>
        <v>1920.5839999999996</v>
      </c>
      <c r="AX51" s="957">
        <f t="shared" si="69"/>
        <v>705.19794695893643</v>
      </c>
      <c r="AY51" s="956">
        <f t="shared" si="69"/>
        <v>6716.255946958936</v>
      </c>
      <c r="AZ51" s="957">
        <f t="shared" ref="AZ51:BG51" si="70">INDEX(MO_RIS_EBITDA_Adj,0,COLUMN())</f>
        <v>2359.2626326813702</v>
      </c>
      <c r="BA51" s="957">
        <f t="shared" si="70"/>
        <v>2318.618607444299</v>
      </c>
      <c r="BB51" s="957">
        <f t="shared" si="70"/>
        <v>2330.9556977679586</v>
      </c>
      <c r="BC51" s="957">
        <f t="shared" si="70"/>
        <v>1661.6279998297416</v>
      </c>
      <c r="BD51" s="956">
        <f t="shared" si="70"/>
        <v>8670.4649377233691</v>
      </c>
      <c r="BE51" s="956">
        <f t="shared" si="70"/>
        <v>10915.713664636913</v>
      </c>
      <c r="BF51" s="956">
        <f t="shared" si="70"/>
        <v>13460.571188803928</v>
      </c>
      <c r="BG51" s="956">
        <f t="shared" si="70"/>
        <v>16992.67023813304</v>
      </c>
      <c r="BH51" s="839"/>
    </row>
    <row r="52" spans="1:60" s="57" customFormat="1" x14ac:dyDescent="0.25">
      <c r="A52" s="249" t="str">
        <f>INDEX(MO_RIS_EBIT_Adj,0,COLUMN())</f>
        <v>Adjusted EBIT (No Adjustments)</v>
      </c>
      <c r="B52" s="254"/>
      <c r="C52" s="956">
        <f t="shared" ref="C52:AH52" si="71">INDEX(MO_RIS_EBIT_Adj,0,COLUMN())</f>
        <v>191.93900000000002</v>
      </c>
      <c r="D52" s="956">
        <f t="shared" si="71"/>
        <v>283.64099999999996</v>
      </c>
      <c r="E52" s="956">
        <f t="shared" si="71"/>
        <v>376.0680000000001</v>
      </c>
      <c r="F52" s="956">
        <f t="shared" si="71"/>
        <v>49.992000000000189</v>
      </c>
      <c r="G52" s="957">
        <f t="shared" si="71"/>
        <v>31.822000000000031</v>
      </c>
      <c r="H52" s="957">
        <f t="shared" si="71"/>
        <v>57.117000000000075</v>
      </c>
      <c r="I52" s="957">
        <f t="shared" si="71"/>
        <v>57.120000000000061</v>
      </c>
      <c r="J52" s="957">
        <f t="shared" si="71"/>
        <v>82.287999999999101</v>
      </c>
      <c r="K52" s="956">
        <f t="shared" si="71"/>
        <v>228.34699999999998</v>
      </c>
      <c r="L52" s="957">
        <f t="shared" si="71"/>
        <v>97.594999999999914</v>
      </c>
      <c r="M52" s="957">
        <f t="shared" si="71"/>
        <v>129.59999999999997</v>
      </c>
      <c r="N52" s="957">
        <f t="shared" si="71"/>
        <v>110.40700000000004</v>
      </c>
      <c r="O52" s="957">
        <f t="shared" si="71"/>
        <v>65.045999999999708</v>
      </c>
      <c r="P52" s="956">
        <f t="shared" si="71"/>
        <v>402.64799999999968</v>
      </c>
      <c r="Q52" s="957">
        <f t="shared" si="71"/>
        <v>97.45599999999979</v>
      </c>
      <c r="R52" s="957">
        <f t="shared" si="71"/>
        <v>74.83499999999998</v>
      </c>
      <c r="S52" s="957">
        <f t="shared" si="71"/>
        <v>73.640999999999906</v>
      </c>
      <c r="T52" s="957">
        <f t="shared" si="71"/>
        <v>59.894000000000801</v>
      </c>
      <c r="U52" s="956">
        <f t="shared" si="71"/>
        <v>305.8260000000007</v>
      </c>
      <c r="V52" s="957">
        <f t="shared" si="71"/>
        <v>49.453000000000145</v>
      </c>
      <c r="W52" s="957">
        <f t="shared" si="71"/>
        <v>70.370000000000232</v>
      </c>
      <c r="X52" s="957">
        <f t="shared" si="71"/>
        <v>106.03600000000006</v>
      </c>
      <c r="Y52" s="957">
        <f t="shared" si="71"/>
        <v>153.93399999999929</v>
      </c>
      <c r="Z52" s="956">
        <f t="shared" si="71"/>
        <v>379.79299999999967</v>
      </c>
      <c r="AA52" s="957">
        <f t="shared" si="71"/>
        <v>256.94200000000023</v>
      </c>
      <c r="AB52" s="957">
        <f t="shared" si="71"/>
        <v>127.80700000000002</v>
      </c>
      <c r="AC52" s="957">
        <f t="shared" si="71"/>
        <v>208.62699999999984</v>
      </c>
      <c r="AD52" s="957">
        <f t="shared" si="71"/>
        <v>245.30299999999988</v>
      </c>
      <c r="AE52" s="956">
        <f t="shared" si="71"/>
        <v>838.67899999999963</v>
      </c>
      <c r="AF52" s="957">
        <f t="shared" si="71"/>
        <v>446.57800000000009</v>
      </c>
      <c r="AG52" s="957">
        <f t="shared" si="71"/>
        <v>462.21299999999997</v>
      </c>
      <c r="AH52" s="957">
        <f t="shared" si="71"/>
        <v>480.66799999999967</v>
      </c>
      <c r="AI52" s="957">
        <f t="shared" ref="AI52:BG52" si="72">INDEX(MO_RIS_EBIT_Adj,0,COLUMN())</f>
        <v>215.76700000000005</v>
      </c>
      <c r="AJ52" s="956">
        <f t="shared" si="72"/>
        <v>1605.2259999999997</v>
      </c>
      <c r="AK52" s="957">
        <f t="shared" si="72"/>
        <v>459.08400000000029</v>
      </c>
      <c r="AL52" s="957">
        <f t="shared" si="72"/>
        <v>706.41899999999987</v>
      </c>
      <c r="AM52" s="957">
        <f t="shared" si="72"/>
        <v>980.23899999999981</v>
      </c>
      <c r="AN52" s="957">
        <f t="shared" si="72"/>
        <v>458.5120000000004</v>
      </c>
      <c r="AO52" s="956">
        <f t="shared" si="72"/>
        <v>2604.2540000000008</v>
      </c>
      <c r="AP52" s="957">
        <f t="shared" si="72"/>
        <v>958.25599999999986</v>
      </c>
      <c r="AQ52" s="957">
        <f t="shared" si="72"/>
        <v>1357.9280000000003</v>
      </c>
      <c r="AR52" s="957">
        <f t="shared" si="72"/>
        <v>1314.8629999999994</v>
      </c>
      <c r="AS52" s="957">
        <f t="shared" si="72"/>
        <v>954.24200000000337</v>
      </c>
      <c r="AT52" s="956">
        <f t="shared" si="72"/>
        <v>4585.2890000000007</v>
      </c>
      <c r="AU52" s="957">
        <f t="shared" si="72"/>
        <v>1959.8560000000002</v>
      </c>
      <c r="AV52" s="957">
        <f t="shared" si="72"/>
        <v>1847.6300000000003</v>
      </c>
      <c r="AW52" s="958">
        <f t="shared" si="72"/>
        <v>1755.2529999999997</v>
      </c>
      <c r="AX52" s="957">
        <f t="shared" si="72"/>
        <v>527.9109087164934</v>
      </c>
      <c r="AY52" s="956">
        <f t="shared" si="72"/>
        <v>6090.6499087164948</v>
      </c>
      <c r="AZ52" s="957">
        <f t="shared" si="72"/>
        <v>2187.8489996205631</v>
      </c>
      <c r="BA52" s="957">
        <f t="shared" si="72"/>
        <v>2141.6928900291905</v>
      </c>
      <c r="BB52" s="957">
        <f t="shared" si="72"/>
        <v>2148.5093808575621</v>
      </c>
      <c r="BC52" s="957">
        <f t="shared" si="72"/>
        <v>1474.3751577222924</v>
      </c>
      <c r="BD52" s="956">
        <f t="shared" si="72"/>
        <v>7952.4264282296081</v>
      </c>
      <c r="BE52" s="956">
        <f t="shared" si="72"/>
        <v>10126.522661446814</v>
      </c>
      <c r="BF52" s="956">
        <f t="shared" si="72"/>
        <v>12581.408764724376</v>
      </c>
      <c r="BG52" s="956">
        <f t="shared" si="72"/>
        <v>16017.587861527163</v>
      </c>
      <c r="BH52" s="839"/>
    </row>
    <row r="53" spans="1:60" customFormat="1" x14ac:dyDescent="0.25">
      <c r="A53" s="249" t="str">
        <f>INDEX(MO_RIS_NI_NONGAAP_Diluted,0,COLUMN())</f>
        <v>Adjusted Net Income</v>
      </c>
      <c r="B53" s="254"/>
      <c r="C53" s="956">
        <f t="shared" ref="C53:AH53" si="73">INDEX(MO_RIS_NI_NONGAAP_Diluted,0,COLUMN())</f>
        <v>115.86000000000001</v>
      </c>
      <c r="D53" s="956">
        <f t="shared" si="73"/>
        <v>160.85299999999995</v>
      </c>
      <c r="E53" s="956">
        <f t="shared" si="73"/>
        <v>226.12600000000012</v>
      </c>
      <c r="F53" s="956">
        <f t="shared" si="73"/>
        <v>17.152000000000189</v>
      </c>
      <c r="G53" s="957">
        <f t="shared" si="73"/>
        <v>18.666000000000029</v>
      </c>
      <c r="H53" s="957">
        <f t="shared" si="73"/>
        <v>29.471000000000071</v>
      </c>
      <c r="I53" s="957">
        <f t="shared" si="73"/>
        <v>31.822000000000063</v>
      </c>
      <c r="J53" s="957">
        <f t="shared" si="73"/>
        <v>48.420999999999104</v>
      </c>
      <c r="K53" s="956">
        <f t="shared" si="73"/>
        <v>128.37999999999997</v>
      </c>
      <c r="L53" s="957">
        <f t="shared" si="73"/>
        <v>53.114999999999917</v>
      </c>
      <c r="M53" s="957">
        <f t="shared" si="73"/>
        <v>71.017999999999972</v>
      </c>
      <c r="N53" s="957">
        <f t="shared" si="73"/>
        <v>59.29500000000003</v>
      </c>
      <c r="O53" s="957">
        <f t="shared" si="73"/>
        <v>44.758999999999709</v>
      </c>
      <c r="P53" s="956">
        <f t="shared" si="73"/>
        <v>228.1869999999997</v>
      </c>
      <c r="Q53" s="957">
        <f t="shared" si="73"/>
        <v>48.008999999999787</v>
      </c>
      <c r="R53" s="957">
        <f t="shared" si="73"/>
        <v>26.33499999999998</v>
      </c>
      <c r="S53" s="957">
        <f t="shared" si="73"/>
        <v>29.43199999999991</v>
      </c>
      <c r="T53" s="957">
        <f t="shared" si="73"/>
        <v>29.740000000000784</v>
      </c>
      <c r="U53" s="956">
        <f t="shared" si="73"/>
        <v>133.5160000000007</v>
      </c>
      <c r="V53" s="957">
        <f t="shared" si="73"/>
        <v>27.658000000000147</v>
      </c>
      <c r="W53" s="957">
        <f t="shared" si="73"/>
        <v>40.755000000000237</v>
      </c>
      <c r="X53" s="957">
        <f t="shared" si="73"/>
        <v>51.517000000000067</v>
      </c>
      <c r="Y53" s="957">
        <f t="shared" si="73"/>
        <v>66.747999999999308</v>
      </c>
      <c r="Z53" s="956">
        <f t="shared" si="73"/>
        <v>186.67799999999968</v>
      </c>
      <c r="AA53" s="957">
        <f t="shared" si="73"/>
        <v>178.22200000000021</v>
      </c>
      <c r="AB53" s="957">
        <f t="shared" si="73"/>
        <v>65.600000000000023</v>
      </c>
      <c r="AC53" s="957">
        <f t="shared" si="73"/>
        <v>129.58999999999983</v>
      </c>
      <c r="AD53" s="957">
        <f t="shared" si="73"/>
        <v>185.51699999999985</v>
      </c>
      <c r="AE53" s="956">
        <f t="shared" si="73"/>
        <v>558.92899999999963</v>
      </c>
      <c r="AF53" s="957">
        <f t="shared" si="73"/>
        <v>290.12400000000008</v>
      </c>
      <c r="AG53" s="957">
        <f t="shared" si="73"/>
        <v>384.34899999999999</v>
      </c>
      <c r="AH53" s="957">
        <f t="shared" si="73"/>
        <v>402.83499999999964</v>
      </c>
      <c r="AI53" s="957">
        <f t="shared" ref="AI53:AY53" si="74">INDEX(MO_RIS_NI_NONGAAP_Diluted,0,COLUMN())</f>
        <v>133.93400000000008</v>
      </c>
      <c r="AJ53" s="956">
        <f t="shared" si="74"/>
        <v>1211.2419999999997</v>
      </c>
      <c r="AK53" s="957">
        <f t="shared" si="74"/>
        <v>344.05200000000025</v>
      </c>
      <c r="AL53" s="957">
        <f t="shared" si="74"/>
        <v>270.64999999999986</v>
      </c>
      <c r="AM53" s="957">
        <f t="shared" si="74"/>
        <v>665.24399999999991</v>
      </c>
      <c r="AN53" s="957">
        <f t="shared" si="74"/>
        <v>586.97000000000037</v>
      </c>
      <c r="AO53" s="956">
        <f t="shared" si="74"/>
        <v>1866.9160000000006</v>
      </c>
      <c r="AP53" s="957">
        <f t="shared" si="74"/>
        <v>709.06699999999989</v>
      </c>
      <c r="AQ53" s="957">
        <f t="shared" si="74"/>
        <v>720.19600000000037</v>
      </c>
      <c r="AR53" s="957">
        <f>INDEX(MO_RIS_NI_NONGAAP_Diluted,0,COLUMN())</f>
        <v>789.97599999999932</v>
      </c>
      <c r="AS53" s="957">
        <f>INDEX(MO_RIS_NI_NONGAAP_Diluted,0,COLUMN())</f>
        <v>542.15600000000336</v>
      </c>
      <c r="AT53" s="956">
        <f>INDEX(MO_RIS_NI_NONGAAP_Diluted,0,COLUMN())</f>
        <v>2761.3950000000004</v>
      </c>
      <c r="AU53" s="957">
        <f t="shared" si="74"/>
        <v>1706.7150000000001</v>
      </c>
      <c r="AV53" s="957">
        <f>INDEX(MO_RIS_NI_NONGAAP_Diluted,0,COLUMN())</f>
        <v>1353.0130000000001</v>
      </c>
      <c r="AW53" s="958">
        <f>INDEX(MO_RIS_NI_NONGAAP_Diluted,0,COLUMN())</f>
        <v>1449.0709999999997</v>
      </c>
      <c r="AX53" s="957">
        <f t="shared" si="74"/>
        <v>350.35107930358816</v>
      </c>
      <c r="AY53" s="956">
        <f t="shared" si="74"/>
        <v>4859.1500793035902</v>
      </c>
      <c r="AZ53" s="957">
        <f t="shared" ref="AZ53:BG53" ca="1" si="75">INDEX(MO_RIS_NI_NONGAAP_Diluted,0,COLUMN())</f>
        <v>1637.9864130617766</v>
      </c>
      <c r="BA53" s="957">
        <f t="shared" ca="1" si="75"/>
        <v>1601.1691956012214</v>
      </c>
      <c r="BB53" s="957">
        <f t="shared" ca="1" si="75"/>
        <v>1607.1642693270355</v>
      </c>
      <c r="BC53" s="957">
        <f t="shared" ca="1" si="75"/>
        <v>1064.3857609071911</v>
      </c>
      <c r="BD53" s="956">
        <f t="shared" ca="1" si="75"/>
        <v>5910.7056388972242</v>
      </c>
      <c r="BE53" s="956">
        <f t="shared" ca="1" si="75"/>
        <v>7696.1873227945907</v>
      </c>
      <c r="BF53" s="956">
        <f t="shared" ca="1" si="75"/>
        <v>9744.2946144258585</v>
      </c>
      <c r="BG53" s="956">
        <f t="shared" ca="1" si="75"/>
        <v>12614.37290036915</v>
      </c>
      <c r="BH53" s="839"/>
    </row>
    <row r="54" spans="1:60" customFormat="1" x14ac:dyDescent="0.25">
      <c r="A54" s="256" t="str">
        <f>INDEX(MO_RIS_EPS_WAD_Adj,0,COLUMN())</f>
        <v>Adjusted Earnings Per Share - WAD</v>
      </c>
      <c r="B54" s="257"/>
      <c r="C54" s="119">
        <f t="shared" ref="C54:AH54" si="76">INDEX(MO_RIS_EPS_WAD_Adj,0,COLUMN())</f>
        <v>0.28333724615565214</v>
      </c>
      <c r="D54" s="119">
        <f t="shared" si="76"/>
        <v>0.42315483205657028</v>
      </c>
      <c r="E54" s="119">
        <f t="shared" si="76"/>
        <v>0.59415685934474249</v>
      </c>
      <c r="F54" s="119">
        <f t="shared" si="76"/>
        <v>4.1597951145690294E-2</v>
      </c>
      <c r="G54" s="120">
        <f t="shared" si="76"/>
        <v>4.4334975369458199E-2</v>
      </c>
      <c r="H54" s="120">
        <f t="shared" si="76"/>
        <v>6.9485770872138433E-2</v>
      </c>
      <c r="I54" s="120">
        <f t="shared" si="76"/>
        <v>7.4536809313002272E-2</v>
      </c>
      <c r="J54" s="120">
        <f t="shared" si="76"/>
        <v>0.11283579724464288</v>
      </c>
      <c r="K54" s="119">
        <f t="shared" si="76"/>
        <v>0.30183835025756645</v>
      </c>
      <c r="L54" s="120">
        <f t="shared" si="76"/>
        <v>0.12328356961813756</v>
      </c>
      <c r="M54" s="120">
        <f t="shared" si="76"/>
        <v>0.16460651630234488</v>
      </c>
      <c r="N54" s="120">
        <f t="shared" si="76"/>
        <v>0.1370215971641302</v>
      </c>
      <c r="O54" s="120">
        <f t="shared" si="76"/>
        <v>0.10348566751596412</v>
      </c>
      <c r="P54" s="119">
        <f t="shared" si="76"/>
        <v>0.52834028720009929</v>
      </c>
      <c r="Q54" s="120">
        <f t="shared" si="76"/>
        <v>0.11066800980150293</v>
      </c>
      <c r="R54" s="120">
        <f t="shared" si="76"/>
        <v>6.038794121491315E-2</v>
      </c>
      <c r="S54" s="120">
        <f t="shared" si="76"/>
        <v>6.7256847483809432E-2</v>
      </c>
      <c r="T54" s="120">
        <f t="shared" si="76"/>
        <v>6.7859726142425067E-2</v>
      </c>
      <c r="U54" s="119">
        <f t="shared" si="76"/>
        <v>0.30590941584031539</v>
      </c>
      <c r="V54" s="120">
        <f t="shared" si="76"/>
        <v>6.3147127922136073E-2</v>
      </c>
      <c r="W54" s="120">
        <f t="shared" si="76"/>
        <v>9.3015241216559102E-2</v>
      </c>
      <c r="X54" s="120">
        <f t="shared" si="76"/>
        <v>0.11751435369044402</v>
      </c>
      <c r="Y54" s="120">
        <f t="shared" si="76"/>
        <v>0.15167828242774173</v>
      </c>
      <c r="Z54" s="119">
        <f t="shared" si="76"/>
        <v>0.42557197961025983</v>
      </c>
      <c r="AA54" s="120">
        <f t="shared" si="76"/>
        <v>0.40008710136533682</v>
      </c>
      <c r="AB54" s="120">
        <f t="shared" si="76"/>
        <v>0.14699884821024425</v>
      </c>
      <c r="AC54" s="120">
        <f t="shared" si="76"/>
        <v>0.28967592240735651</v>
      </c>
      <c r="AD54" s="120">
        <f t="shared" si="76"/>
        <v>0.41396923296633625</v>
      </c>
      <c r="AE54" s="119">
        <f t="shared" si="76"/>
        <v>1.250920964875764</v>
      </c>
      <c r="AF54" s="120">
        <f t="shared" si="76"/>
        <v>0.64420606671566483</v>
      </c>
      <c r="AG54" s="120">
        <f t="shared" si="76"/>
        <v>0.85117328679753379</v>
      </c>
      <c r="AH54" s="120">
        <f t="shared" si="76"/>
        <v>0.89138761592232163</v>
      </c>
      <c r="AI54" s="120">
        <f t="shared" ref="AI54:AY54" si="77">INDEX(MO_RIS_EPS_WAD_Adj,0,COLUMN())</f>
        <v>0.29689481197740736</v>
      </c>
      <c r="AJ54" s="119">
        <f t="shared" si="77"/>
        <v>2.6842284883566312</v>
      </c>
      <c r="AK54" s="120">
        <f t="shared" si="77"/>
        <v>0.76130836737313123</v>
      </c>
      <c r="AL54" s="120">
        <f t="shared" si="77"/>
        <v>0.59852497263348747</v>
      </c>
      <c r="AM54" s="120">
        <f t="shared" si="77"/>
        <v>1.4732389625115156</v>
      </c>
      <c r="AN54" s="120">
        <f t="shared" si="77"/>
        <v>1.3004273684163892</v>
      </c>
      <c r="AO54" s="119">
        <f t="shared" si="77"/>
        <v>4.1324936637411058</v>
      </c>
      <c r="AP54" s="120">
        <f t="shared" si="77"/>
        <v>1.5670196731890365</v>
      </c>
      <c r="AQ54" s="120">
        <f t="shared" si="77"/>
        <v>1.5865270021698672</v>
      </c>
      <c r="AR54" s="120">
        <f>INDEX(MO_RIS_EPS_WAD_Adj,0,COLUMN())</f>
        <v>1.7358752592905093</v>
      </c>
      <c r="AS54" s="120">
        <f>INDEX(MO_RIS_EPS_WAD_Adj,0,COLUMN())</f>
        <v>1.1908109900874915</v>
      </c>
      <c r="AT54" s="119">
        <f>INDEX(MO_RIS_EPS_WAD_Adj,0,COLUMN())</f>
        <v>6.0795824820346631</v>
      </c>
      <c r="AU54" s="120">
        <f t="shared" si="77"/>
        <v>3.7457450053880139</v>
      </c>
      <c r="AV54" s="120">
        <f>INDEX(MO_RIS_EPS_WAD_Adj,0,COLUMN())</f>
        <v>2.9728121038211146</v>
      </c>
      <c r="AW54" s="618">
        <f>INDEX(MO_RIS_EPS_WAD_Adj,0,COLUMN())</f>
        <v>3.1852964774413359</v>
      </c>
      <c r="AX54" s="120">
        <f t="shared" ca="1" si="77"/>
        <v>0.77012931648862593</v>
      </c>
      <c r="AY54" s="119">
        <f t="shared" ca="1" si="77"/>
        <v>10.675813908017249</v>
      </c>
      <c r="AZ54" s="120">
        <f t="shared" ref="AZ54:BG54" ca="1" si="78">INDEX(MO_RIS_EPS_WAD_Adj,0,COLUMN())</f>
        <v>3.6005636380980963</v>
      </c>
      <c r="BA54" s="120">
        <f t="shared" ca="1" si="78"/>
        <v>3.5196333364867205</v>
      </c>
      <c r="BB54" s="120">
        <f t="shared" ca="1" si="78"/>
        <v>3.5328114949212188</v>
      </c>
      <c r="BC54" s="120">
        <f t="shared" ca="1" si="78"/>
        <v>2.3396950286469003</v>
      </c>
      <c r="BD54" s="119">
        <f t="shared" ca="1" si="78"/>
        <v>12.992703498152935</v>
      </c>
      <c r="BE54" s="119">
        <f t="shared" ca="1" si="78"/>
        <v>16.917486009330307</v>
      </c>
      <c r="BF54" s="119">
        <f t="shared" ca="1" si="78"/>
        <v>21.419562816784872</v>
      </c>
      <c r="BG54" s="119">
        <f t="shared" ca="1" si="78"/>
        <v>27.728467110774631</v>
      </c>
      <c r="BH54" s="120"/>
    </row>
    <row r="55" spans="1:60" customFormat="1" x14ac:dyDescent="0.25">
      <c r="A55" s="225"/>
      <c r="B55" s="258"/>
      <c r="C55" s="121"/>
      <c r="D55" s="121"/>
      <c r="E55" s="121"/>
      <c r="F55" s="121"/>
      <c r="G55" s="122"/>
      <c r="H55" s="122"/>
      <c r="I55" s="122"/>
      <c r="J55" s="122"/>
      <c r="K55" s="121"/>
      <c r="L55" s="122"/>
      <c r="M55" s="122"/>
      <c r="N55" s="122"/>
      <c r="O55" s="122"/>
      <c r="P55" s="121"/>
      <c r="Q55" s="122"/>
      <c r="R55" s="122"/>
      <c r="S55" s="122"/>
      <c r="T55" s="122"/>
      <c r="U55" s="121"/>
      <c r="V55" s="122"/>
      <c r="W55" s="122"/>
      <c r="X55" s="122"/>
      <c r="Y55" s="123"/>
      <c r="Z55" s="124"/>
      <c r="AA55" s="122"/>
      <c r="AB55" s="122"/>
      <c r="AC55" s="122"/>
      <c r="AD55" s="123"/>
      <c r="AE55" s="124"/>
      <c r="AF55" s="122"/>
      <c r="AG55" s="122"/>
      <c r="AH55" s="122"/>
      <c r="AI55" s="123"/>
      <c r="AJ55" s="124"/>
      <c r="AK55" s="122"/>
      <c r="AL55" s="122"/>
      <c r="AM55" s="122"/>
      <c r="AN55" s="123"/>
      <c r="AO55" s="124"/>
      <c r="AP55" s="122"/>
      <c r="AQ55" s="122"/>
      <c r="AR55" s="122"/>
      <c r="AS55" s="123"/>
      <c r="AT55" s="124"/>
      <c r="AU55" s="122"/>
      <c r="AV55" s="122"/>
      <c r="AW55" s="620"/>
      <c r="AX55" s="123"/>
      <c r="AY55" s="124"/>
      <c r="AZ55" s="122"/>
      <c r="BA55" s="122"/>
      <c r="BB55" s="122"/>
      <c r="BC55" s="123"/>
      <c r="BD55" s="124"/>
      <c r="BE55" s="124"/>
      <c r="BF55" s="124"/>
      <c r="BG55" s="124"/>
      <c r="BH55" s="239"/>
    </row>
    <row r="56" spans="1:60" customFormat="1" x14ac:dyDescent="0.25">
      <c r="A56" s="843" t="s">
        <v>34</v>
      </c>
      <c r="B56" s="840"/>
      <c r="C56" s="959"/>
      <c r="D56" s="959"/>
      <c r="E56" s="959"/>
      <c r="F56" s="959"/>
      <c r="G56" s="959"/>
      <c r="H56" s="959"/>
      <c r="I56" s="959"/>
      <c r="J56" s="959"/>
      <c r="K56" s="959"/>
      <c r="L56" s="959"/>
      <c r="M56" s="959"/>
      <c r="N56" s="959"/>
      <c r="O56" s="959"/>
      <c r="P56" s="959"/>
      <c r="Q56" s="959"/>
      <c r="R56" s="959"/>
      <c r="S56" s="959"/>
      <c r="T56" s="959"/>
      <c r="U56" s="959"/>
      <c r="V56" s="959"/>
      <c r="W56" s="959"/>
      <c r="X56" s="959"/>
      <c r="Y56" s="959"/>
      <c r="Z56" s="959"/>
      <c r="AA56" s="959"/>
      <c r="AB56" s="959"/>
      <c r="AC56" s="959"/>
      <c r="AD56" s="959"/>
      <c r="AE56" s="959"/>
      <c r="AF56" s="959"/>
      <c r="AG56" s="959"/>
      <c r="AH56" s="959"/>
      <c r="AI56" s="959"/>
      <c r="AJ56" s="959"/>
      <c r="AK56" s="959"/>
      <c r="AL56" s="959"/>
      <c r="AM56" s="959"/>
      <c r="AN56" s="959"/>
      <c r="AO56" s="959"/>
      <c r="AP56" s="959"/>
      <c r="AQ56" s="959"/>
      <c r="AR56" s="959"/>
      <c r="AS56" s="959"/>
      <c r="AT56" s="959"/>
      <c r="AU56" s="959"/>
      <c r="AV56" s="959"/>
      <c r="AW56" s="960"/>
      <c r="AX56" s="959"/>
      <c r="AY56" s="959"/>
      <c r="AZ56" s="959"/>
      <c r="BA56" s="959"/>
      <c r="BB56" s="959"/>
      <c r="BC56" s="959"/>
      <c r="BD56" s="959"/>
      <c r="BE56" s="959"/>
      <c r="BF56" s="959"/>
      <c r="BG56" s="959"/>
      <c r="BH56" s="239"/>
    </row>
    <row r="57" spans="1:60" customFormat="1" x14ac:dyDescent="0.25">
      <c r="A57" s="259" t="str">
        <f>INDEX(MO_MA_COGS,0,COLUMN())</f>
        <v>COGS Margin, %</v>
      </c>
      <c r="B57" s="258"/>
      <c r="C57" s="125">
        <f t="shared" ref="C57:AH57" si="79">INDEX(MO_MA_COGS,0,COLUMN())</f>
        <v>0.64616597685761989</v>
      </c>
      <c r="D57" s="125">
        <f t="shared" si="79"/>
        <v>0.6276423328131322</v>
      </c>
      <c r="E57" s="125">
        <f t="shared" si="79"/>
        <v>0.63655858479917937</v>
      </c>
      <c r="F57" s="125">
        <f t="shared" si="79"/>
        <v>0.73478824874310178</v>
      </c>
      <c r="G57" s="126">
        <f t="shared" si="79"/>
        <v>0.71970709821956114</v>
      </c>
      <c r="H57" s="126">
        <f t="shared" si="79"/>
        <v>0.71132776994348079</v>
      </c>
      <c r="I57" s="126">
        <f t="shared" si="79"/>
        <v>0.72233338366490385</v>
      </c>
      <c r="J57" s="126">
        <f t="shared" si="79"/>
        <v>0.69831181981399448</v>
      </c>
      <c r="K57" s="125">
        <f t="shared" si="79"/>
        <v>0.71257488178245043</v>
      </c>
      <c r="L57" s="126">
        <f t="shared" si="79"/>
        <v>0.68435046677831246</v>
      </c>
      <c r="M57" s="126">
        <f t="shared" si="79"/>
        <v>0.68251508683556561</v>
      </c>
      <c r="N57" s="126">
        <f t="shared" si="79"/>
        <v>0.67714795747506795</v>
      </c>
      <c r="O57" s="126">
        <f t="shared" si="79"/>
        <v>0.68317698595298282</v>
      </c>
      <c r="P57" s="125">
        <f t="shared" si="79"/>
        <v>0.68174287366912667</v>
      </c>
      <c r="Q57" s="126">
        <f t="shared" si="79"/>
        <v>0.66517176913018583</v>
      </c>
      <c r="R57" s="126">
        <f t="shared" si="79"/>
        <v>0.68204298185559131</v>
      </c>
      <c r="S57" s="126">
        <f t="shared" si="79"/>
        <v>0.67532696140891824</v>
      </c>
      <c r="T57" s="126">
        <f t="shared" si="79"/>
        <v>0.68520944884999035</v>
      </c>
      <c r="U57" s="125">
        <f t="shared" si="79"/>
        <v>0.67725769601966856</v>
      </c>
      <c r="V57" s="126">
        <f t="shared" si="79"/>
        <v>0.72460280650710818</v>
      </c>
      <c r="W57" s="126">
        <f t="shared" si="79"/>
        <v>0.72458393580859615</v>
      </c>
      <c r="X57" s="126">
        <f t="shared" si="79"/>
        <v>0.69591142735880196</v>
      </c>
      <c r="Y57" s="126">
        <f t="shared" si="79"/>
        <v>0.69412211543623314</v>
      </c>
      <c r="Z57" s="125">
        <f t="shared" si="79"/>
        <v>0.70860565603806469</v>
      </c>
      <c r="AA57" s="126">
        <f t="shared" si="79"/>
        <v>0.66020931983380327</v>
      </c>
      <c r="AB57" s="126">
        <f t="shared" si="79"/>
        <v>0.71503203775026347</v>
      </c>
      <c r="AC57" s="126">
        <f t="shared" si="79"/>
        <v>0.6989405529708439</v>
      </c>
      <c r="AD57" s="126">
        <f t="shared" si="79"/>
        <v>0.67391938839018739</v>
      </c>
      <c r="AE57" s="125">
        <f t="shared" si="79"/>
        <v>0.68700907992867011</v>
      </c>
      <c r="AF57" s="126">
        <f t="shared" si="79"/>
        <v>0.62163429217456723</v>
      </c>
      <c r="AG57" s="126">
        <f t="shared" si="79"/>
        <v>0.61486178329114705</v>
      </c>
      <c r="AH57" s="126">
        <f t="shared" si="79"/>
        <v>0.63288104588368088</v>
      </c>
      <c r="AI57" s="126">
        <f t="shared" ref="AI57:BG57" si="80">INDEX(MO_MA_COGS,0,COLUMN())</f>
        <v>0.65285498064053538</v>
      </c>
      <c r="AJ57" s="125">
        <f t="shared" si="80"/>
        <v>0.63108286695848848</v>
      </c>
      <c r="AK57" s="126">
        <f t="shared" si="80"/>
        <v>0.63495224057021116</v>
      </c>
      <c r="AL57" s="126">
        <f t="shared" si="80"/>
        <v>0.61051923212859505</v>
      </c>
      <c r="AM57" s="126">
        <f t="shared" si="80"/>
        <v>0.59065302422064847</v>
      </c>
      <c r="AN57" s="126">
        <f t="shared" si="80"/>
        <v>0.63393961408587651</v>
      </c>
      <c r="AO57" s="125">
        <f t="shared" si="80"/>
        <v>0.61718282989060524</v>
      </c>
      <c r="AP57" s="126">
        <f t="shared" si="80"/>
        <v>0.62411474539811518</v>
      </c>
      <c r="AQ57" s="126">
        <f t="shared" si="80"/>
        <v>0.592637850613976</v>
      </c>
      <c r="AR57" s="126">
        <f t="shared" si="80"/>
        <v>0.60098961454786848</v>
      </c>
      <c r="AS57" s="126">
        <f t="shared" si="80"/>
        <v>0.62686377576928154</v>
      </c>
      <c r="AT57" s="125">
        <f t="shared" si="80"/>
        <v>0.61114917489383125</v>
      </c>
      <c r="AU57" s="126">
        <f t="shared" si="80"/>
        <v>0.54004728558780735</v>
      </c>
      <c r="AV57" s="126">
        <f t="shared" si="80"/>
        <v>0.54728003860645724</v>
      </c>
      <c r="AW57" s="621">
        <f t="shared" si="80"/>
        <v>0.56211766551519504</v>
      </c>
      <c r="AX57" s="126">
        <f t="shared" si="80"/>
        <v>0.65212598651621101</v>
      </c>
      <c r="AY57" s="125">
        <f t="shared" si="80"/>
        <v>0.57652713909301445</v>
      </c>
      <c r="AZ57" s="126">
        <f t="shared" si="80"/>
        <v>0.5415917347441237</v>
      </c>
      <c r="BA57" s="126">
        <f t="shared" si="80"/>
        <v>0.54161141719019468</v>
      </c>
      <c r="BB57" s="126">
        <f t="shared" si="80"/>
        <v>0.54633747244597397</v>
      </c>
      <c r="BC57" s="126">
        <f t="shared" si="80"/>
        <v>0.56532885758723861</v>
      </c>
      <c r="BD57" s="125">
        <f t="shared" si="80"/>
        <v>0.54899270723531446</v>
      </c>
      <c r="BE57" s="124">
        <f t="shared" si="80"/>
        <v>0.52044712538801929</v>
      </c>
      <c r="BF57" s="124">
        <f t="shared" si="80"/>
        <v>0.49737108640321115</v>
      </c>
      <c r="BG57" s="124">
        <f t="shared" si="80"/>
        <v>0.46489402902212745</v>
      </c>
      <c r="BH57" s="225"/>
    </row>
    <row r="58" spans="1:60" customFormat="1" x14ac:dyDescent="0.25">
      <c r="A58" s="259" t="str">
        <f>INDEX(MO_MA_SM,0,COLUMN())</f>
        <v>S&amp;M Margin, %</v>
      </c>
      <c r="B58" s="258"/>
      <c r="C58" s="125">
        <f t="shared" ref="C58:AH58" si="81">INDEX(MO_MA_SM,0,COLUMN())</f>
        <v>0.14233874902785121</v>
      </c>
      <c r="D58" s="125">
        <f t="shared" si="81"/>
        <v>0.13587145251719554</v>
      </c>
      <c r="E58" s="125">
        <f t="shared" si="81"/>
        <v>0.12564466386671314</v>
      </c>
      <c r="F58" s="125">
        <f t="shared" si="81"/>
        <v>0.12168846878686675</v>
      </c>
      <c r="G58" s="126">
        <f t="shared" si="81"/>
        <v>0.1162993512448228</v>
      </c>
      <c r="H58" s="126">
        <f t="shared" si="81"/>
        <v>0.10717598740195179</v>
      </c>
      <c r="I58" s="126">
        <f t="shared" si="81"/>
        <v>9.7855423015753173E-2</v>
      </c>
      <c r="J58" s="126">
        <f t="shared" si="81"/>
        <v>0.10892931596368376</v>
      </c>
      <c r="K58" s="125">
        <f t="shared" si="81"/>
        <v>0.10742606916989633</v>
      </c>
      <c r="L58" s="126">
        <f t="shared" si="81"/>
        <v>0.10794361654970637</v>
      </c>
      <c r="M58" s="126">
        <f t="shared" si="81"/>
        <v>9.0094277335167616E-2</v>
      </c>
      <c r="N58" s="126">
        <f t="shared" si="81"/>
        <v>0.10334233932534524</v>
      </c>
      <c r="O58" s="126">
        <f t="shared" si="81"/>
        <v>0.13717731463271393</v>
      </c>
      <c r="P58" s="125">
        <f t="shared" si="81"/>
        <v>0.11030407713034203</v>
      </c>
      <c r="Q58" s="126">
        <f t="shared" si="81"/>
        <v>0.12375145331374604</v>
      </c>
      <c r="R58" s="126">
        <f t="shared" si="81"/>
        <v>0.11986424222378143</v>
      </c>
      <c r="S58" s="126">
        <f t="shared" si="81"/>
        <v>0.11971202659986022</v>
      </c>
      <c r="T58" s="126">
        <f t="shared" si="81"/>
        <v>0.1229468232078287</v>
      </c>
      <c r="U58" s="125">
        <f t="shared" si="81"/>
        <v>0.1215562597361373</v>
      </c>
      <c r="V58" s="126">
        <f t="shared" si="81"/>
        <v>0.11823095657432871</v>
      </c>
      <c r="W58" s="126">
        <f t="shared" si="81"/>
        <v>0.11428346136526435</v>
      </c>
      <c r="X58" s="126">
        <f t="shared" si="81"/>
        <v>0.13580413485705103</v>
      </c>
      <c r="Y58" s="126">
        <f t="shared" si="81"/>
        <v>0.1269189894334746</v>
      </c>
      <c r="Z58" s="125">
        <f t="shared" si="81"/>
        <v>0.12428492110846869</v>
      </c>
      <c r="AA58" s="126">
        <f t="shared" si="81"/>
        <v>0.11611315180144388</v>
      </c>
      <c r="AB58" s="126">
        <f t="shared" si="81"/>
        <v>0.11170849811736933</v>
      </c>
      <c r="AC58" s="126">
        <f t="shared" si="81"/>
        <v>0.11807793935994967</v>
      </c>
      <c r="AD58" s="126">
        <f t="shared" si="81"/>
        <v>0.14198471888500513</v>
      </c>
      <c r="AE58" s="125">
        <f t="shared" si="81"/>
        <v>0.12283556433823356</v>
      </c>
      <c r="AF58" s="126">
        <f t="shared" si="81"/>
        <v>0.14504130936194221</v>
      </c>
      <c r="AG58" s="126">
        <f t="shared" si="81"/>
        <v>0.15151422860462674</v>
      </c>
      <c r="AH58" s="126">
        <f t="shared" si="81"/>
        <v>0.12760246978652159</v>
      </c>
      <c r="AI58" s="126">
        <f t="shared" ref="AI58:AY58" si="82">INDEX(MO_MA_SM,0,COLUMN())</f>
        <v>0.17444058659022399</v>
      </c>
      <c r="AJ58" s="125">
        <f t="shared" si="82"/>
        <v>0.15002012429641731</v>
      </c>
      <c r="AK58" s="126">
        <f t="shared" si="82"/>
        <v>0.13638113051294937</v>
      </c>
      <c r="AL58" s="126">
        <f t="shared" si="82"/>
        <v>0.12251387129614658</v>
      </c>
      <c r="AM58" s="126">
        <f t="shared" si="82"/>
        <v>0.10558761312168667</v>
      </c>
      <c r="AN58" s="126">
        <f t="shared" si="82"/>
        <v>0.16075859351937305</v>
      </c>
      <c r="AO58" s="125">
        <f t="shared" si="82"/>
        <v>0.13159372780331771</v>
      </c>
      <c r="AP58" s="126">
        <f t="shared" si="82"/>
        <v>8.7353847492870201E-2</v>
      </c>
      <c r="AQ58" s="126">
        <f t="shared" si="82"/>
        <v>7.0648958099867182E-2</v>
      </c>
      <c r="AR58" s="126">
        <f>INDEX(MO_MA_SM,0,COLUMN())</f>
        <v>8.1980540543228272E-2</v>
      </c>
      <c r="AS58" s="126">
        <f>INDEX(MO_MA_SM,0,COLUMN())</f>
        <v>0.11476734991440968</v>
      </c>
      <c r="AT58" s="125">
        <f>INDEX(MO_MA_SM,0,COLUMN())</f>
        <v>8.9148544074313163E-2</v>
      </c>
      <c r="AU58" s="126">
        <f t="shared" si="82"/>
        <v>7.1547092519881242E-2</v>
      </c>
      <c r="AV58" s="126">
        <f>INDEX(MO_MA_SM,0,COLUMN())</f>
        <v>8.2265233607612967E-2</v>
      </c>
      <c r="AW58" s="621">
        <f>INDEX(MO_MA_SM,0,COLUMN())</f>
        <v>8.4980397454816059E-2</v>
      </c>
      <c r="AX58" s="126">
        <f t="shared" si="82"/>
        <v>0.13276734991440967</v>
      </c>
      <c r="AY58" s="125">
        <f t="shared" si="82"/>
        <v>9.3492598057490897E-2</v>
      </c>
      <c r="AZ58" s="126">
        <f t="shared" ref="AZ58:BG58" si="83">INDEX(MO_MA_SM,0,COLUMN())</f>
        <v>7.1047092519881241E-2</v>
      </c>
      <c r="BA58" s="126">
        <f t="shared" si="83"/>
        <v>8.1765233607612967E-2</v>
      </c>
      <c r="BB58" s="126">
        <f t="shared" si="83"/>
        <v>8.3980397454816058E-2</v>
      </c>
      <c r="BC58" s="126">
        <f t="shared" si="83"/>
        <v>0.12676734991440966</v>
      </c>
      <c r="BD58" s="125">
        <f t="shared" si="83"/>
        <v>9.1502635694858142E-2</v>
      </c>
      <c r="BE58" s="124">
        <f t="shared" si="83"/>
        <v>9.1002635694858142E-2</v>
      </c>
      <c r="BF58" s="124">
        <f t="shared" si="83"/>
        <v>9.0502635694858141E-2</v>
      </c>
      <c r="BG58" s="124">
        <f t="shared" si="83"/>
        <v>9.0002635694858141E-2</v>
      </c>
      <c r="BH58" s="225"/>
    </row>
    <row r="59" spans="1:60" customFormat="1" x14ac:dyDescent="0.25">
      <c r="A59" s="259" t="str">
        <f>INDEX(MO_MA_GA,0,COLUMN())</f>
        <v>G&amp;A Margin, %</v>
      </c>
      <c r="B59" s="258"/>
      <c r="C59" s="125">
        <f t="shared" ref="C59:AH59" si="84">INDEX(MO_MA_GA,0,COLUMN())</f>
        <v>2.8003273724172575E-2</v>
      </c>
      <c r="D59" s="125">
        <f t="shared" si="84"/>
        <v>2.9806831975030344E-2</v>
      </c>
      <c r="E59" s="125">
        <f t="shared" si="84"/>
        <v>3.9611156168193176E-2</v>
      </c>
      <c r="F59" s="125">
        <f t="shared" si="84"/>
        <v>3.851624782990079E-2</v>
      </c>
      <c r="G59" s="126">
        <f t="shared" si="84"/>
        <v>4.3093438128991239E-2</v>
      </c>
      <c r="H59" s="126">
        <f t="shared" si="84"/>
        <v>4.0999764347673211E-2</v>
      </c>
      <c r="I59" s="126">
        <f t="shared" si="84"/>
        <v>4.1782135426885553E-2</v>
      </c>
      <c r="J59" s="126">
        <f t="shared" si="84"/>
        <v>3.9243382146473473E-2</v>
      </c>
      <c r="K59" s="125">
        <f t="shared" si="84"/>
        <v>4.1215783431575545E-2</v>
      </c>
      <c r="L59" s="126">
        <f t="shared" si="84"/>
        <v>4.4012663679474429E-2</v>
      </c>
      <c r="M59" s="126">
        <f t="shared" si="84"/>
        <v>4.4772968210401769E-2</v>
      </c>
      <c r="N59" s="126">
        <f t="shared" si="84"/>
        <v>5.5358470646331287E-2</v>
      </c>
      <c r="O59" s="126">
        <f t="shared" si="84"/>
        <v>5.1055142760155381E-2</v>
      </c>
      <c r="P59" s="125">
        <f t="shared" si="84"/>
        <v>4.9002335477457623E-2</v>
      </c>
      <c r="Q59" s="126">
        <f t="shared" si="84"/>
        <v>5.8157341197066489E-2</v>
      </c>
      <c r="R59" s="126">
        <f t="shared" si="84"/>
        <v>5.831236692053355E-2</v>
      </c>
      <c r="S59" s="126">
        <f t="shared" si="84"/>
        <v>6.3791342965044531E-2</v>
      </c>
      <c r="T59" s="126">
        <f t="shared" si="84"/>
        <v>5.9803667240158544E-2</v>
      </c>
      <c r="U59" s="125">
        <f t="shared" si="84"/>
        <v>6.0082356972353902E-2</v>
      </c>
      <c r="V59" s="126">
        <f t="shared" si="84"/>
        <v>3.6586649068107241E-2</v>
      </c>
      <c r="W59" s="126">
        <f t="shared" si="84"/>
        <v>3.7356474716939543E-2</v>
      </c>
      <c r="X59" s="126">
        <f t="shared" si="84"/>
        <v>3.5744227111486046E-2</v>
      </c>
      <c r="Y59" s="126">
        <f t="shared" si="84"/>
        <v>3.3715688257025825E-2</v>
      </c>
      <c r="Z59" s="125">
        <f t="shared" si="84"/>
        <v>3.5746215830306856E-2</v>
      </c>
      <c r="AA59" s="126">
        <f t="shared" si="84"/>
        <v>3.7526240833486615E-2</v>
      </c>
      <c r="AB59" s="126">
        <f t="shared" si="84"/>
        <v>4.0322545902585709E-2</v>
      </c>
      <c r="AC59" s="126">
        <f t="shared" si="84"/>
        <v>3.5956137291577255E-2</v>
      </c>
      <c r="AD59" s="126">
        <f t="shared" si="84"/>
        <v>3.4226228066304397E-2</v>
      </c>
      <c r="AE59" s="125">
        <f t="shared" si="84"/>
        <v>3.6864241857300355E-2</v>
      </c>
      <c r="AF59" s="126">
        <f t="shared" si="84"/>
        <v>3.6373206631114527E-2</v>
      </c>
      <c r="AG59" s="126">
        <f t="shared" si="84"/>
        <v>3.8780017761762049E-2</v>
      </c>
      <c r="AH59" s="126">
        <f t="shared" si="84"/>
        <v>4.2163598603181397E-2</v>
      </c>
      <c r="AI59" s="126">
        <f t="shared" ref="AI59:AY59" si="85">INDEX(MO_MA_GA,0,COLUMN())</f>
        <v>4.1924209684580813E-2</v>
      </c>
      <c r="AJ59" s="125">
        <f t="shared" si="85"/>
        <v>3.9906318345285817E-2</v>
      </c>
      <c r="AK59" s="126">
        <f t="shared" si="85"/>
        <v>4.4669842370877892E-2</v>
      </c>
      <c r="AL59" s="126">
        <f t="shared" si="85"/>
        <v>4.5633090912340885E-2</v>
      </c>
      <c r="AM59" s="126">
        <f t="shared" si="85"/>
        <v>4.4457239930942506E-2</v>
      </c>
      <c r="AN59" s="126">
        <f t="shared" si="85"/>
        <v>4.6564073750135798E-2</v>
      </c>
      <c r="AO59" s="125">
        <f t="shared" si="85"/>
        <v>4.5363600043202057E-2</v>
      </c>
      <c r="AP59" s="126">
        <f t="shared" si="85"/>
        <v>4.3706745038872577E-2</v>
      </c>
      <c r="AQ59" s="126">
        <f t="shared" si="85"/>
        <v>4.5091591380101707E-2</v>
      </c>
      <c r="AR59" s="126">
        <f>INDEX(MO_MA_GA,0,COLUMN())</f>
        <v>4.2206233819589274E-2</v>
      </c>
      <c r="AS59" s="126">
        <f>INDEX(MO_MA_GA,0,COLUMN())</f>
        <v>4.1469095523747522E-2</v>
      </c>
      <c r="AT59" s="125">
        <f>INDEX(MO_MA_GA,0,COLUMN())</f>
        <v>4.3066234129096208E-2</v>
      </c>
      <c r="AU59" s="126">
        <f t="shared" si="85"/>
        <v>4.1488803595893617E-2</v>
      </c>
      <c r="AV59" s="126">
        <f>INDEX(MO_MA_GA,0,COLUMN())</f>
        <v>4.5608168158744133E-2</v>
      </c>
      <c r="AW59" s="621">
        <f>INDEX(MO_MA_GA,0,COLUMN())</f>
        <v>4.300012280404257E-2</v>
      </c>
      <c r="AX59" s="126">
        <f t="shared" si="85"/>
        <v>5.3469095523747526E-2</v>
      </c>
      <c r="AY59" s="125">
        <f t="shared" si="85"/>
        <v>4.6001514840342143E-2</v>
      </c>
      <c r="AZ59" s="126">
        <f t="shared" ref="AZ59:BG59" si="86">INDEX(MO_MA_GA,0,COLUMN())</f>
        <v>4.0988803595893616E-2</v>
      </c>
      <c r="BA59" s="126">
        <f t="shared" si="86"/>
        <v>4.3608168158744132E-2</v>
      </c>
      <c r="BB59" s="126">
        <f t="shared" si="86"/>
        <v>4.1000122804042569E-2</v>
      </c>
      <c r="BC59" s="126">
        <f t="shared" si="86"/>
        <v>5.1469095523747524E-2</v>
      </c>
      <c r="BD59" s="125">
        <f t="shared" si="86"/>
        <v>4.4371337348613989E-2</v>
      </c>
      <c r="BE59" s="124">
        <f t="shared" si="86"/>
        <v>4.3371337348613988E-2</v>
      </c>
      <c r="BF59" s="124">
        <f t="shared" si="86"/>
        <v>4.2871337348613987E-2</v>
      </c>
      <c r="BG59" s="124">
        <f t="shared" si="86"/>
        <v>4.2371337348613987E-2</v>
      </c>
      <c r="BH59" s="225"/>
    </row>
    <row r="60" spans="1:60" customFormat="1" x14ac:dyDescent="0.25">
      <c r="A60" s="357" t="str">
        <f>INDEX(MO_MA_RD,0,COLUMN())</f>
        <v>R&amp;D Margin, %</v>
      </c>
      <c r="B60" s="358"/>
      <c r="C60" s="359">
        <f t="shared" ref="C60:AH60" si="87">INDEX(SP_GF_RD,0,COLUMN())/INDEX(SP_GF_Rev,0,COLUMN())</f>
        <v>6.8576977720355231E-2</v>
      </c>
      <c r="D60" s="359">
        <f t="shared" si="87"/>
        <v>7.5523495751690664E-2</v>
      </c>
      <c r="E60" s="359">
        <f t="shared" si="87"/>
        <v>8.0832197197945307E-2</v>
      </c>
      <c r="F60" s="359">
        <f t="shared" si="87"/>
        <v>9.1156080350607113E-2</v>
      </c>
      <c r="G60" s="360">
        <f t="shared" si="87"/>
        <v>8.9822756921406177E-2</v>
      </c>
      <c r="H60" s="360">
        <f t="shared" si="87"/>
        <v>8.7084756286867432E-2</v>
      </c>
      <c r="I60" s="360">
        <f t="shared" si="87"/>
        <v>8.6383441576348627E-2</v>
      </c>
      <c r="J60" s="360">
        <f t="shared" si="87"/>
        <v>8.3496847425610324E-2</v>
      </c>
      <c r="K60" s="359">
        <f t="shared" si="87"/>
        <v>8.6584439767912774E-2</v>
      </c>
      <c r="L60" s="360">
        <f t="shared" si="87"/>
        <v>8.6852181225095249E-2</v>
      </c>
      <c r="M60" s="360">
        <f t="shared" si="87"/>
        <v>8.5930616596302467E-2</v>
      </c>
      <c r="N60" s="360">
        <f t="shared" si="87"/>
        <v>8.5816839691450181E-2</v>
      </c>
      <c r="O60" s="360">
        <f t="shared" si="87"/>
        <v>8.4780511986033813E-2</v>
      </c>
      <c r="P60" s="359">
        <f t="shared" si="87"/>
        <v>8.5803908545783791E-2</v>
      </c>
      <c r="Q60" s="360">
        <f t="shared" si="87"/>
        <v>9.0969017798286089E-2</v>
      </c>
      <c r="R60" s="360">
        <f t="shared" si="87"/>
        <v>9.4279543793556742E-2</v>
      </c>
      <c r="S60" s="360">
        <f t="shared" si="87"/>
        <v>9.8807205662824915E-2</v>
      </c>
      <c r="T60" s="360">
        <f t="shared" si="87"/>
        <v>9.9191425811960804E-2</v>
      </c>
      <c r="U60" s="359">
        <f t="shared" si="87"/>
        <v>9.5993354092942684E-2</v>
      </c>
      <c r="V60" s="360">
        <f t="shared" si="87"/>
        <v>9.5319287176616252E-2</v>
      </c>
      <c r="W60" s="360">
        <f t="shared" si="87"/>
        <v>9.0349438819230812E-2</v>
      </c>
      <c r="X60" s="360">
        <f t="shared" si="87"/>
        <v>8.624008160028783E-2</v>
      </c>
      <c r="Y60" s="360">
        <f t="shared" si="87"/>
        <v>8.3111439931771086E-2</v>
      </c>
      <c r="Z60" s="359">
        <f t="shared" si="87"/>
        <v>8.8354800751789017E-2</v>
      </c>
      <c r="AA60" s="360">
        <f t="shared" si="87"/>
        <v>8.8700559614812061E-2</v>
      </c>
      <c r="AB60" s="360">
        <f t="shared" si="87"/>
        <v>8.705335987110227E-2</v>
      </c>
      <c r="AC60" s="360">
        <f t="shared" si="87"/>
        <v>7.7130276505523385E-2</v>
      </c>
      <c r="AD60" s="360">
        <f t="shared" si="87"/>
        <v>7.5213154967427587E-2</v>
      </c>
      <c r="AE60" s="359">
        <f t="shared" si="87"/>
        <v>8.1564475241973355E-2</v>
      </c>
      <c r="AF60" s="360">
        <f t="shared" si="87"/>
        <v>7.6282351974786375E-2</v>
      </c>
      <c r="AG60" s="360">
        <f t="shared" si="87"/>
        <v>7.6548331699626604E-2</v>
      </c>
      <c r="AH60" s="360">
        <f t="shared" si="87"/>
        <v>7.7167076647495336E-2</v>
      </c>
      <c r="AI60" s="360">
        <f t="shared" ref="AI60:AY60" si="88">INDEX(SP_GF_RD,0,COLUMN())/INDEX(SP_GF_Rev,0,COLUMN())</f>
        <v>7.924566516856027E-2</v>
      </c>
      <c r="AJ60" s="359">
        <f t="shared" si="88"/>
        <v>7.7357706788779609E-2</v>
      </c>
      <c r="AK60" s="360">
        <f t="shared" si="88"/>
        <v>8.2451815884655402E-2</v>
      </c>
      <c r="AL60" s="360">
        <f t="shared" si="88"/>
        <v>7.784358524154214E-2</v>
      </c>
      <c r="AM60" s="360">
        <f t="shared" si="88"/>
        <v>7.240855649435024E-2</v>
      </c>
      <c r="AN60" s="360">
        <f t="shared" si="88"/>
        <v>7.4875343716997736E-2</v>
      </c>
      <c r="AO60" s="359">
        <f t="shared" si="88"/>
        <v>7.6657805812701013E-2</v>
      </c>
      <c r="AP60" s="360">
        <f t="shared" si="88"/>
        <v>7.8682613198245197E-2</v>
      </c>
      <c r="AQ60" s="360">
        <f t="shared" si="88"/>
        <v>7.0758744794890804E-2</v>
      </c>
      <c r="AR60" s="360">
        <f>INDEX(SP_GF_RD,0,COLUMN())/INDEX(SP_GF_Rev,0,COLUMN())</f>
        <v>7.0513921154968809E-2</v>
      </c>
      <c r="AS60" s="360">
        <f>INDEX(SP_GF_RD,0,COLUMN())/INDEX(SP_GF_Rev,0,COLUMN())</f>
        <v>7.3284709235177256E-2</v>
      </c>
      <c r="AT60" s="359">
        <f>INDEX(SP_GF_RD,0,COLUMN())/INDEX(SP_GF_Rev,0,COLUMN())</f>
        <v>7.3195547329546709E-2</v>
      </c>
      <c r="AU60" s="360">
        <f t="shared" si="88"/>
        <v>7.3319324856958024E-2</v>
      </c>
      <c r="AV60" s="360">
        <f>INDEX(SP_GF_RD,0,COLUMN())/INDEX(SP_GF_Rev,0,COLUMN())</f>
        <v>7.3186777533558983E-2</v>
      </c>
      <c r="AW60" s="622">
        <f>INDEX(SP_GF_RD,0,COLUMN())/INDEX(SP_GF_Rev,0,COLUMN())</f>
        <v>7.5351037159648054E-2</v>
      </c>
      <c r="AX60" s="360">
        <f t="shared" si="88"/>
        <v>9.328470923517726E-2</v>
      </c>
      <c r="AY60" s="359">
        <f t="shared" si="88"/>
        <v>7.8988112725210155E-2</v>
      </c>
      <c r="AZ60" s="360">
        <f t="shared" ref="AZ60:BG60" si="89">INDEX(SP_GF_RD,0,COLUMN())/INDEX(SP_GF_Rev,0,COLUMN())</f>
        <v>7.2819324856958023E-2</v>
      </c>
      <c r="BA60" s="360">
        <f t="shared" si="89"/>
        <v>7.2686777533558983E-2</v>
      </c>
      <c r="BB60" s="360">
        <f t="shared" si="89"/>
        <v>7.4851037159648054E-2</v>
      </c>
      <c r="BC60" s="360">
        <f t="shared" si="89"/>
        <v>8.7284709235177255E-2</v>
      </c>
      <c r="BD60" s="359">
        <f t="shared" si="89"/>
        <v>7.7075881679825278E-2</v>
      </c>
      <c r="BE60" s="361">
        <f t="shared" si="89"/>
        <v>7.6575881679825278E-2</v>
      </c>
      <c r="BF60" s="361">
        <f t="shared" si="89"/>
        <v>7.6075881679825277E-2</v>
      </c>
      <c r="BG60" s="361">
        <f t="shared" si="89"/>
        <v>7.5575881679825277E-2</v>
      </c>
      <c r="BH60" s="225"/>
    </row>
    <row r="61" spans="1:60" s="57" customFormat="1" x14ac:dyDescent="0.25">
      <c r="A61" s="260" t="str">
        <f>INDEX(MO_MA_EBIT,0,COLUMN())</f>
        <v>EBIT Margin, %</v>
      </c>
      <c r="B61" s="160"/>
      <c r="C61" s="127">
        <f t="shared" ref="C61:AH61" si="90">INDEX(MO_MA_EBIT,0,COLUMN())</f>
        <v>0.11491502267000107</v>
      </c>
      <c r="D61" s="127">
        <f t="shared" si="90"/>
        <v>0.13115588694295124</v>
      </c>
      <c r="E61" s="127">
        <f t="shared" si="90"/>
        <v>0.11735339796796897</v>
      </c>
      <c r="F61" s="127">
        <f t="shared" si="90"/>
        <v>1.3850954289523564E-2</v>
      </c>
      <c r="G61" s="128">
        <f t="shared" si="90"/>
        <v>3.1077355485218706E-2</v>
      </c>
      <c r="H61" s="128">
        <f t="shared" si="90"/>
        <v>5.3411722020026774E-2</v>
      </c>
      <c r="I61" s="128">
        <f t="shared" si="90"/>
        <v>5.1645616316108839E-2</v>
      </c>
      <c r="J61" s="128">
        <f t="shared" si="90"/>
        <v>7.0018634650237957E-2</v>
      </c>
      <c r="K61" s="127">
        <f t="shared" si="90"/>
        <v>5.2198825848164911E-2</v>
      </c>
      <c r="L61" s="128">
        <f t="shared" si="90"/>
        <v>7.6841071767411506E-2</v>
      </c>
      <c r="M61" s="128">
        <f t="shared" si="90"/>
        <v>9.6687051022562531E-2</v>
      </c>
      <c r="N61" s="128">
        <f t="shared" si="90"/>
        <v>7.8334392861805352E-2</v>
      </c>
      <c r="O61" s="128">
        <f t="shared" si="90"/>
        <v>4.3810044668114105E-2</v>
      </c>
      <c r="P61" s="127">
        <f t="shared" si="90"/>
        <v>7.3146805177289859E-2</v>
      </c>
      <c r="Q61" s="128">
        <f t="shared" si="90"/>
        <v>6.1950418560715488E-2</v>
      </c>
      <c r="R61" s="128">
        <f t="shared" si="90"/>
        <v>4.5500865206536886E-2</v>
      </c>
      <c r="S61" s="128">
        <f t="shared" si="90"/>
        <v>4.2362463363352081E-2</v>
      </c>
      <c r="T61" s="128">
        <f t="shared" si="90"/>
        <v>3.2848634890061651E-2</v>
      </c>
      <c r="U61" s="127">
        <f t="shared" si="90"/>
        <v>4.5110333178897517E-2</v>
      </c>
      <c r="V61" s="128">
        <f t="shared" si="90"/>
        <v>2.526030067383965E-2</v>
      </c>
      <c r="W61" s="128">
        <f t="shared" si="90"/>
        <v>3.3426689289969155E-2</v>
      </c>
      <c r="X61" s="128">
        <f t="shared" si="90"/>
        <v>4.6300129072373124E-2</v>
      </c>
      <c r="Y61" s="128">
        <f t="shared" si="90"/>
        <v>6.2131766941495352E-2</v>
      </c>
      <c r="Z61" s="127">
        <f t="shared" si="90"/>
        <v>4.3008406271370793E-2</v>
      </c>
      <c r="AA61" s="128">
        <f t="shared" si="90"/>
        <v>9.7450727916454191E-2</v>
      </c>
      <c r="AB61" s="128">
        <f t="shared" si="90"/>
        <v>4.5883558358679209E-2</v>
      </c>
      <c r="AC61" s="128">
        <f t="shared" si="90"/>
        <v>6.9895093872105796E-2</v>
      </c>
      <c r="AD61" s="128">
        <f t="shared" si="90"/>
        <v>7.465650969107554E-2</v>
      </c>
      <c r="AE61" s="127">
        <f t="shared" si="90"/>
        <v>7.1726638633822587E-2</v>
      </c>
      <c r="AF61" s="128">
        <f t="shared" si="90"/>
        <v>0.12066883985758972</v>
      </c>
      <c r="AG61" s="128">
        <f t="shared" si="90"/>
        <v>0.11829563864283757</v>
      </c>
      <c r="AH61" s="128">
        <f t="shared" si="90"/>
        <v>0.12018580907912081</v>
      </c>
      <c r="AI61" s="128">
        <f t="shared" ref="AI61:BG61" si="91">INDEX(MO_MA_EBIT,0,COLUMN())</f>
        <v>5.1534557916099524E-2</v>
      </c>
      <c r="AJ61" s="127">
        <f t="shared" si="91"/>
        <v>0.10163298361102877</v>
      </c>
      <c r="AK61" s="128">
        <f t="shared" si="91"/>
        <v>0.10154497066130624</v>
      </c>
      <c r="AL61" s="128">
        <f t="shared" si="91"/>
        <v>0.14349022042137538</v>
      </c>
      <c r="AM61" s="128">
        <f t="shared" si="91"/>
        <v>0.18689356623237216</v>
      </c>
      <c r="AN61" s="128">
        <f t="shared" si="91"/>
        <v>8.3862374927616931E-2</v>
      </c>
      <c r="AO61" s="127">
        <f t="shared" si="91"/>
        <v>0.12920203645017403</v>
      </c>
      <c r="AP61" s="128">
        <f t="shared" si="91"/>
        <v>0.1661420488718969</v>
      </c>
      <c r="AQ61" s="128">
        <f t="shared" si="91"/>
        <v>0.22086285511116438</v>
      </c>
      <c r="AR61" s="128">
        <f t="shared" si="91"/>
        <v>0.20430968993434517</v>
      </c>
      <c r="AS61" s="128">
        <f t="shared" si="91"/>
        <v>0.14361506955738393</v>
      </c>
      <c r="AT61" s="127">
        <f t="shared" si="91"/>
        <v>0.18344049957321271</v>
      </c>
      <c r="AU61" s="128">
        <f t="shared" si="91"/>
        <v>0.27359749343945977</v>
      </c>
      <c r="AV61" s="128">
        <f t="shared" si="91"/>
        <v>0.25165978209362672</v>
      </c>
      <c r="AW61" s="623">
        <f t="shared" si="91"/>
        <v>0.23455077706629826</v>
      </c>
      <c r="AX61" s="128">
        <f t="shared" si="91"/>
        <v>6.8352858810454553E-2</v>
      </c>
      <c r="AY61" s="127">
        <f t="shared" si="91"/>
        <v>0.20499063528394235</v>
      </c>
      <c r="AZ61" s="128">
        <f t="shared" si="91"/>
        <v>0.27355304428314348</v>
      </c>
      <c r="BA61" s="128">
        <f t="shared" si="91"/>
        <v>0.26032840350988928</v>
      </c>
      <c r="BB61" s="128">
        <f t="shared" si="91"/>
        <v>0.25383097013551925</v>
      </c>
      <c r="BC61" s="128">
        <f t="shared" si="91"/>
        <v>0.16914998773942691</v>
      </c>
      <c r="BD61" s="127">
        <f t="shared" si="91"/>
        <v>0.23805743804138813</v>
      </c>
      <c r="BE61" s="127">
        <f t="shared" si="91"/>
        <v>0.26860301988868329</v>
      </c>
      <c r="BF61" s="127">
        <f t="shared" si="91"/>
        <v>0.29317905887349144</v>
      </c>
      <c r="BG61" s="127">
        <f t="shared" si="91"/>
        <v>0.32715611625457514</v>
      </c>
      <c r="BH61" s="372"/>
    </row>
    <row r="62" spans="1:60" s="57" customFormat="1" x14ac:dyDescent="0.25">
      <c r="A62" s="260" t="str">
        <f>INDEX(MO_MA_EBIT_Adj,0,COLUMN())</f>
        <v>Adjusted EBIT Margin, % - (No Adjustments)</v>
      </c>
      <c r="B62" s="160"/>
      <c r="C62" s="127">
        <f t="shared" ref="C62:AH62" si="92">INDEX(MO_MA_EBIT_Adj,0,COLUMN())</f>
        <v>0.11491502267000107</v>
      </c>
      <c r="D62" s="127">
        <f t="shared" si="92"/>
        <v>0.13115588694295124</v>
      </c>
      <c r="E62" s="127">
        <f t="shared" si="92"/>
        <v>0.11735339796796897</v>
      </c>
      <c r="F62" s="127">
        <f t="shared" si="92"/>
        <v>1.3850954289523564E-2</v>
      </c>
      <c r="G62" s="128">
        <f t="shared" si="92"/>
        <v>3.1077355485218706E-2</v>
      </c>
      <c r="H62" s="128">
        <f t="shared" si="92"/>
        <v>5.3411722020026774E-2</v>
      </c>
      <c r="I62" s="128">
        <f t="shared" si="92"/>
        <v>5.1645616316108839E-2</v>
      </c>
      <c r="J62" s="128">
        <f t="shared" si="92"/>
        <v>7.0018634650237957E-2</v>
      </c>
      <c r="K62" s="127">
        <f t="shared" si="92"/>
        <v>5.2198825848164911E-2</v>
      </c>
      <c r="L62" s="128">
        <f t="shared" si="92"/>
        <v>7.6841071767411506E-2</v>
      </c>
      <c r="M62" s="128">
        <f t="shared" si="92"/>
        <v>9.6687051022562531E-2</v>
      </c>
      <c r="N62" s="128">
        <f t="shared" si="92"/>
        <v>7.8334392861805352E-2</v>
      </c>
      <c r="O62" s="128">
        <f t="shared" si="92"/>
        <v>4.3810044668114105E-2</v>
      </c>
      <c r="P62" s="127">
        <f t="shared" si="92"/>
        <v>7.3146805177289859E-2</v>
      </c>
      <c r="Q62" s="128">
        <f t="shared" si="92"/>
        <v>6.1950418560715488E-2</v>
      </c>
      <c r="R62" s="128">
        <f t="shared" si="92"/>
        <v>4.5500865206536886E-2</v>
      </c>
      <c r="S62" s="128">
        <f t="shared" si="92"/>
        <v>4.2362463363352081E-2</v>
      </c>
      <c r="T62" s="128">
        <f t="shared" si="92"/>
        <v>3.2848634890061651E-2</v>
      </c>
      <c r="U62" s="127">
        <f t="shared" si="92"/>
        <v>4.5110333178897517E-2</v>
      </c>
      <c r="V62" s="128">
        <f t="shared" si="92"/>
        <v>2.526030067383965E-2</v>
      </c>
      <c r="W62" s="128">
        <f t="shared" si="92"/>
        <v>3.3426689289969155E-2</v>
      </c>
      <c r="X62" s="128">
        <f t="shared" si="92"/>
        <v>4.6300129072373124E-2</v>
      </c>
      <c r="Y62" s="128">
        <f t="shared" si="92"/>
        <v>6.2131766941495352E-2</v>
      </c>
      <c r="Z62" s="127">
        <f t="shared" si="92"/>
        <v>4.3008406271370793E-2</v>
      </c>
      <c r="AA62" s="128">
        <f t="shared" si="92"/>
        <v>9.7450727916454191E-2</v>
      </c>
      <c r="AB62" s="128">
        <f t="shared" si="92"/>
        <v>4.5883558358679209E-2</v>
      </c>
      <c r="AC62" s="128">
        <f t="shared" si="92"/>
        <v>6.9895093872105796E-2</v>
      </c>
      <c r="AD62" s="128">
        <f t="shared" si="92"/>
        <v>7.465650969107554E-2</v>
      </c>
      <c r="AE62" s="127">
        <f t="shared" si="92"/>
        <v>7.1726638633822587E-2</v>
      </c>
      <c r="AF62" s="128">
        <f t="shared" si="92"/>
        <v>0.12066883985758972</v>
      </c>
      <c r="AG62" s="128">
        <f t="shared" si="92"/>
        <v>0.11829563864283757</v>
      </c>
      <c r="AH62" s="128">
        <f t="shared" si="92"/>
        <v>0.12018580907912081</v>
      </c>
      <c r="AI62" s="128">
        <f t="shared" ref="AI62:BG62" si="93">INDEX(MO_MA_EBIT_Adj,0,COLUMN())</f>
        <v>5.1534557916099524E-2</v>
      </c>
      <c r="AJ62" s="127">
        <f t="shared" si="93"/>
        <v>0.10163298361102877</v>
      </c>
      <c r="AK62" s="128">
        <f t="shared" si="93"/>
        <v>0.10154497066130624</v>
      </c>
      <c r="AL62" s="128">
        <f t="shared" si="93"/>
        <v>0.14349022042137538</v>
      </c>
      <c r="AM62" s="128">
        <f t="shared" si="93"/>
        <v>0.18689356623237216</v>
      </c>
      <c r="AN62" s="128">
        <f t="shared" si="93"/>
        <v>8.3862374927616931E-2</v>
      </c>
      <c r="AO62" s="127">
        <f t="shared" si="93"/>
        <v>0.12920203645017403</v>
      </c>
      <c r="AP62" s="128">
        <f t="shared" si="93"/>
        <v>0.1661420488718969</v>
      </c>
      <c r="AQ62" s="128">
        <f t="shared" si="93"/>
        <v>0.22086285511116438</v>
      </c>
      <c r="AR62" s="128">
        <f t="shared" si="93"/>
        <v>0.20430968993434517</v>
      </c>
      <c r="AS62" s="128">
        <f t="shared" si="93"/>
        <v>0.14361506955738393</v>
      </c>
      <c r="AT62" s="127">
        <f t="shared" si="93"/>
        <v>0.18344049957321271</v>
      </c>
      <c r="AU62" s="128">
        <f t="shared" si="93"/>
        <v>0.27359749343945977</v>
      </c>
      <c r="AV62" s="128">
        <f t="shared" si="93"/>
        <v>0.25165978209362672</v>
      </c>
      <c r="AW62" s="623">
        <f t="shared" si="93"/>
        <v>0.23455077706629826</v>
      </c>
      <c r="AX62" s="128">
        <f t="shared" si="93"/>
        <v>6.8352858810454553E-2</v>
      </c>
      <c r="AY62" s="127">
        <f t="shared" si="93"/>
        <v>0.20499063528394235</v>
      </c>
      <c r="AZ62" s="128">
        <f t="shared" si="93"/>
        <v>0.27355304428314348</v>
      </c>
      <c r="BA62" s="128">
        <f t="shared" si="93"/>
        <v>0.26032840350988928</v>
      </c>
      <c r="BB62" s="128">
        <f t="shared" si="93"/>
        <v>0.25383097013551925</v>
      </c>
      <c r="BC62" s="128">
        <f t="shared" si="93"/>
        <v>0.16914998773942691</v>
      </c>
      <c r="BD62" s="127">
        <f t="shared" si="93"/>
        <v>0.23805743804138813</v>
      </c>
      <c r="BE62" s="127">
        <f t="shared" si="93"/>
        <v>0.26860301988868329</v>
      </c>
      <c r="BF62" s="127">
        <f t="shared" si="93"/>
        <v>0.29317905887349144</v>
      </c>
      <c r="BG62" s="127">
        <f t="shared" si="93"/>
        <v>0.32715611625457514</v>
      </c>
      <c r="BH62" s="372"/>
    </row>
    <row r="63" spans="1:60" customFormat="1" x14ac:dyDescent="0.25">
      <c r="A63" s="260" t="str">
        <f>INDEX(MO_MA_EBITDA,0,COLUMN())</f>
        <v>EBITDA Margin, %</v>
      </c>
      <c r="B63" s="160"/>
      <c r="C63" s="127">
        <f t="shared" ref="C63:AH63" si="94">INDEX(MO_MA_EBITDA,0,COLUMN())</f>
        <v>0.14524666386073143</v>
      </c>
      <c r="D63" s="127">
        <f t="shared" si="94"/>
        <v>0.1617182821802208</v>
      </c>
      <c r="E63" s="127">
        <f t="shared" si="94"/>
        <v>0.15022169852682588</v>
      </c>
      <c r="F63" s="127">
        <f t="shared" si="94"/>
        <v>4.6937036230474696E-2</v>
      </c>
      <c r="G63" s="128">
        <f t="shared" si="94"/>
        <v>6.0177096588639636E-2</v>
      </c>
      <c r="H63" s="128">
        <f t="shared" si="94"/>
        <v>8.1447803009616918E-2</v>
      </c>
      <c r="I63" s="128">
        <f t="shared" si="94"/>
        <v>7.8706219445044759E-2</v>
      </c>
      <c r="J63" s="128">
        <f t="shared" si="94"/>
        <v>9.7049088263573224E-2</v>
      </c>
      <c r="K63" s="127">
        <f t="shared" si="94"/>
        <v>7.9967091562538145E-2</v>
      </c>
      <c r="L63" s="128">
        <f t="shared" si="94"/>
        <v>0.10692321561717322</v>
      </c>
      <c r="M63" s="128">
        <f t="shared" si="94"/>
        <v>0.12821628057746637</v>
      </c>
      <c r="N63" s="128">
        <f t="shared" si="94"/>
        <v>0.10971937631613306</v>
      </c>
      <c r="O63" s="128">
        <f t="shared" si="94"/>
        <v>7.3824296436788228E-2</v>
      </c>
      <c r="P63" s="127">
        <f t="shared" si="94"/>
        <v>0.10389659226661933</v>
      </c>
      <c r="Q63" s="128">
        <f t="shared" si="94"/>
        <v>8.9035292083484444E-2</v>
      </c>
      <c r="R63" s="128">
        <f t="shared" si="94"/>
        <v>7.2357532769013549E-2</v>
      </c>
      <c r="S63" s="128">
        <f t="shared" si="94"/>
        <v>7.0481575972686769E-2</v>
      </c>
      <c r="T63" s="128">
        <f t="shared" si="94"/>
        <v>6.1010248813574246E-2</v>
      </c>
      <c r="U63" s="127">
        <f t="shared" si="94"/>
        <v>7.2694623550282708E-2</v>
      </c>
      <c r="V63" s="128">
        <f t="shared" si="94"/>
        <v>5.4487939129688648E-2</v>
      </c>
      <c r="W63" s="128">
        <f t="shared" si="94"/>
        <v>6.1092891710257162E-2</v>
      </c>
      <c r="X63" s="128">
        <f t="shared" si="94"/>
        <v>7.158407956028065E-2</v>
      </c>
      <c r="Y63" s="128">
        <f t="shared" si="94"/>
        <v>8.5475477499665747E-2</v>
      </c>
      <c r="Z63" s="127">
        <f t="shared" si="94"/>
        <v>6.9190227829850681E-2</v>
      </c>
      <c r="AA63" s="128">
        <f t="shared" si="94"/>
        <v>0.12018311218655606</v>
      </c>
      <c r="AB63" s="128">
        <f t="shared" si="94"/>
        <v>6.8349833277328312E-2</v>
      </c>
      <c r="AC63" s="128">
        <f t="shared" si="94"/>
        <v>9.1336977726586027E-2</v>
      </c>
      <c r="AD63" s="128">
        <f t="shared" si="94"/>
        <v>9.5231080832259229E-2</v>
      </c>
      <c r="AE63" s="127">
        <f t="shared" si="94"/>
        <v>9.3459832632512188E-2</v>
      </c>
      <c r="AF63" s="128">
        <f t="shared" si="94"/>
        <v>0.14429472532841053</v>
      </c>
      <c r="AG63" s="128">
        <f t="shared" si="94"/>
        <v>0.14413669902515056</v>
      </c>
      <c r="AH63" s="128">
        <f t="shared" si="94"/>
        <v>0.14605910825044111</v>
      </c>
      <c r="AI63" s="128">
        <f t="shared" ref="AI63:BG63" si="95">INDEX(MO_MA_EBITDA,0,COLUMN())</f>
        <v>7.826903386109002E-2</v>
      </c>
      <c r="AJ63" s="127">
        <f t="shared" si="95"/>
        <v>0.1271999889074194</v>
      </c>
      <c r="AK63" s="128">
        <f t="shared" si="95"/>
        <v>0.12914090535882394</v>
      </c>
      <c r="AL63" s="128">
        <f t="shared" si="95"/>
        <v>0.16976301188109319</v>
      </c>
      <c r="AM63" s="128">
        <f t="shared" si="95"/>
        <v>0.21110105902776119</v>
      </c>
      <c r="AN63" s="128">
        <f t="shared" si="95"/>
        <v>0.10725250638599394</v>
      </c>
      <c r="AO63" s="127">
        <f t="shared" si="95"/>
        <v>0.15445227028354752</v>
      </c>
      <c r="AP63" s="128">
        <f t="shared" si="95"/>
        <v>0.18790743124068193</v>
      </c>
      <c r="AQ63" s="128">
        <f t="shared" si="95"/>
        <v>0.24214862483625524</v>
      </c>
      <c r="AR63" s="128">
        <f t="shared" si="95"/>
        <v>0.22527824362996224</v>
      </c>
      <c r="AS63" s="128">
        <f t="shared" si="95"/>
        <v>0.16461562912280717</v>
      </c>
      <c r="AT63" s="127">
        <f t="shared" si="95"/>
        <v>0.20467945023006834</v>
      </c>
      <c r="AU63" s="128">
        <f t="shared" si="95"/>
        <v>0.29355636145554515</v>
      </c>
      <c r="AV63" s="128">
        <f t="shared" si="95"/>
        <v>0.27073105053449598</v>
      </c>
      <c r="AW63" s="623">
        <f t="shared" si="95"/>
        <v>0.25664361184461693</v>
      </c>
      <c r="AX63" s="128">
        <f t="shared" si="95"/>
        <v>9.1307633363933605E-2</v>
      </c>
      <c r="AY63" s="127">
        <f t="shared" si="95"/>
        <v>0.22604641441077347</v>
      </c>
      <c r="AZ63" s="128">
        <f t="shared" si="95"/>
        <v>0.29498538315275913</v>
      </c>
      <c r="BA63" s="128">
        <f t="shared" si="95"/>
        <v>0.28183418978249031</v>
      </c>
      <c r="BB63" s="128">
        <f t="shared" si="95"/>
        <v>0.27538569362503634</v>
      </c>
      <c r="BC63" s="128">
        <f t="shared" si="95"/>
        <v>0.19063286187817702</v>
      </c>
      <c r="BD63" s="127">
        <f t="shared" si="95"/>
        <v>0.25955206103825823</v>
      </c>
      <c r="BE63" s="127">
        <f t="shared" si="95"/>
        <v>0.28953607793958525</v>
      </c>
      <c r="BF63" s="127">
        <f t="shared" si="95"/>
        <v>0.31366579584457394</v>
      </c>
      <c r="BG63" s="127">
        <f t="shared" si="95"/>
        <v>0.34707198411910423</v>
      </c>
      <c r="BH63" s="372"/>
    </row>
    <row r="64" spans="1:60" customFormat="1" x14ac:dyDescent="0.25">
      <c r="A64" s="260" t="str">
        <f>INDEX(MO_MA_EBITDA_Adj,0,COLUMN())</f>
        <v>Adjusted EBITDA Margin, %  -  (No Adjustments)</v>
      </c>
      <c r="B64" s="160"/>
      <c r="C64" s="127">
        <f t="shared" ref="C64:AH64" si="96">INDEX(SP_NGF_EBITDA,0,COLUMN())/INDEX(SP_GF_Rev,0,COLUMN())</f>
        <v>0.14524666386073143</v>
      </c>
      <c r="D64" s="127">
        <f t="shared" si="96"/>
        <v>0.1617182821802208</v>
      </c>
      <c r="E64" s="127">
        <f t="shared" si="96"/>
        <v>0.15022169852682588</v>
      </c>
      <c r="F64" s="127">
        <f t="shared" si="96"/>
        <v>4.6937036230474696E-2</v>
      </c>
      <c r="G64" s="128">
        <f t="shared" si="96"/>
        <v>6.0177096588639636E-2</v>
      </c>
      <c r="H64" s="128">
        <f t="shared" si="96"/>
        <v>8.1447803009616918E-2</v>
      </c>
      <c r="I64" s="128">
        <f t="shared" si="96"/>
        <v>7.8706219445044759E-2</v>
      </c>
      <c r="J64" s="128">
        <f t="shared" si="96"/>
        <v>9.7049088263573224E-2</v>
      </c>
      <c r="K64" s="127">
        <f t="shared" si="96"/>
        <v>7.9967091562538145E-2</v>
      </c>
      <c r="L64" s="128">
        <f t="shared" si="96"/>
        <v>0.10692321561717322</v>
      </c>
      <c r="M64" s="128">
        <f t="shared" si="96"/>
        <v>0.12821628057746637</v>
      </c>
      <c r="N64" s="128">
        <f t="shared" si="96"/>
        <v>0.10971937631613306</v>
      </c>
      <c r="O64" s="128">
        <f t="shared" si="96"/>
        <v>7.3824296436788228E-2</v>
      </c>
      <c r="P64" s="127">
        <f t="shared" si="96"/>
        <v>0.10389659226661933</v>
      </c>
      <c r="Q64" s="128">
        <f t="shared" si="96"/>
        <v>8.9035292083484444E-2</v>
      </c>
      <c r="R64" s="128">
        <f t="shared" si="96"/>
        <v>7.2357532769013563E-2</v>
      </c>
      <c r="S64" s="128">
        <f t="shared" si="96"/>
        <v>7.0481575972686769E-2</v>
      </c>
      <c r="T64" s="128">
        <f t="shared" si="96"/>
        <v>6.1010248813574232E-2</v>
      </c>
      <c r="U64" s="127">
        <f t="shared" si="96"/>
        <v>7.2694623550282708E-2</v>
      </c>
      <c r="V64" s="128">
        <f t="shared" si="96"/>
        <v>5.4487939129688648E-2</v>
      </c>
      <c r="W64" s="128">
        <f t="shared" si="96"/>
        <v>6.1092891710257176E-2</v>
      </c>
      <c r="X64" s="128">
        <f t="shared" si="96"/>
        <v>7.158407956028065E-2</v>
      </c>
      <c r="Y64" s="128">
        <f t="shared" si="96"/>
        <v>8.5475477499665733E-2</v>
      </c>
      <c r="Z64" s="127">
        <f t="shared" si="96"/>
        <v>6.9190227829850681E-2</v>
      </c>
      <c r="AA64" s="128">
        <f t="shared" si="96"/>
        <v>0.12018311218655606</v>
      </c>
      <c r="AB64" s="128">
        <f t="shared" si="96"/>
        <v>6.8349833277328298E-2</v>
      </c>
      <c r="AC64" s="128">
        <f t="shared" si="96"/>
        <v>9.1336977726586027E-2</v>
      </c>
      <c r="AD64" s="128">
        <f t="shared" si="96"/>
        <v>9.5231080832259216E-2</v>
      </c>
      <c r="AE64" s="127">
        <f t="shared" si="96"/>
        <v>9.3459832632512216E-2</v>
      </c>
      <c r="AF64" s="128">
        <f t="shared" si="96"/>
        <v>0.14429472532841053</v>
      </c>
      <c r="AG64" s="128">
        <f t="shared" si="96"/>
        <v>0.14413669902515053</v>
      </c>
      <c r="AH64" s="128">
        <f t="shared" si="96"/>
        <v>0.14605910825044113</v>
      </c>
      <c r="AI64" s="128">
        <f t="shared" ref="AI64:BG64" si="97">INDEX(SP_NGF_EBITDA,0,COLUMN())/INDEX(SP_GF_Rev,0,COLUMN())</f>
        <v>7.826903386109002E-2</v>
      </c>
      <c r="AJ64" s="127">
        <f t="shared" si="97"/>
        <v>0.1271999889074194</v>
      </c>
      <c r="AK64" s="128">
        <f t="shared" si="97"/>
        <v>0.12914090535882394</v>
      </c>
      <c r="AL64" s="128">
        <f t="shared" si="97"/>
        <v>0.16976301188109316</v>
      </c>
      <c r="AM64" s="128">
        <f t="shared" si="97"/>
        <v>0.21110105902776119</v>
      </c>
      <c r="AN64" s="128">
        <f t="shared" si="97"/>
        <v>0.10725250638599391</v>
      </c>
      <c r="AO64" s="127">
        <f t="shared" si="97"/>
        <v>0.15445227028354752</v>
      </c>
      <c r="AP64" s="128">
        <f t="shared" si="97"/>
        <v>0.18790743124068193</v>
      </c>
      <c r="AQ64" s="128">
        <f t="shared" si="97"/>
        <v>0.24214862483625524</v>
      </c>
      <c r="AR64" s="128">
        <f t="shared" si="97"/>
        <v>0.22527824362996224</v>
      </c>
      <c r="AS64" s="128">
        <f t="shared" si="97"/>
        <v>0.16461562912280717</v>
      </c>
      <c r="AT64" s="127">
        <f t="shared" si="97"/>
        <v>0.20467945023006834</v>
      </c>
      <c r="AU64" s="128">
        <f t="shared" si="97"/>
        <v>0.29355636145554515</v>
      </c>
      <c r="AV64" s="128">
        <f t="shared" si="97"/>
        <v>0.27073105053449598</v>
      </c>
      <c r="AW64" s="623">
        <f t="shared" si="97"/>
        <v>0.25664361184461693</v>
      </c>
      <c r="AX64" s="128">
        <f t="shared" si="97"/>
        <v>9.1307633363933605E-2</v>
      </c>
      <c r="AY64" s="127">
        <f t="shared" si="97"/>
        <v>0.22604641441077342</v>
      </c>
      <c r="AZ64" s="128">
        <f t="shared" si="97"/>
        <v>0.29498538315275913</v>
      </c>
      <c r="BA64" s="128">
        <f t="shared" si="97"/>
        <v>0.28183418978249031</v>
      </c>
      <c r="BB64" s="128">
        <f t="shared" si="97"/>
        <v>0.27538569362503634</v>
      </c>
      <c r="BC64" s="128">
        <f t="shared" si="97"/>
        <v>0.19063286187817702</v>
      </c>
      <c r="BD64" s="127">
        <f t="shared" si="97"/>
        <v>0.25955206103825823</v>
      </c>
      <c r="BE64" s="127">
        <f t="shared" si="97"/>
        <v>0.28953607793958525</v>
      </c>
      <c r="BF64" s="127">
        <f t="shared" si="97"/>
        <v>0.31366579584457394</v>
      </c>
      <c r="BG64" s="127">
        <f t="shared" si="97"/>
        <v>0.34707198411910423</v>
      </c>
      <c r="BH64" s="372"/>
    </row>
    <row r="65" spans="1:60" customFormat="1" x14ac:dyDescent="0.25">
      <c r="A65" s="256"/>
      <c r="B65" s="254"/>
      <c r="C65" s="956"/>
      <c r="D65" s="956"/>
      <c r="E65" s="956"/>
      <c r="F65" s="956"/>
      <c r="G65" s="957"/>
      <c r="H65" s="957"/>
      <c r="I65" s="957"/>
      <c r="J65" s="957"/>
      <c r="K65" s="956"/>
      <c r="L65" s="957"/>
      <c r="M65" s="957"/>
      <c r="N65" s="957"/>
      <c r="O65" s="957"/>
      <c r="P65" s="956"/>
      <c r="Q65" s="957"/>
      <c r="R65" s="957"/>
      <c r="S65" s="957"/>
      <c r="T65" s="957"/>
      <c r="U65" s="956"/>
      <c r="V65" s="957"/>
      <c r="W65" s="957"/>
      <c r="X65" s="957"/>
      <c r="Y65" s="957"/>
      <c r="Z65" s="956"/>
      <c r="AA65" s="957"/>
      <c r="AB65" s="957"/>
      <c r="AC65" s="957"/>
      <c r="AD65" s="957"/>
      <c r="AE65" s="956"/>
      <c r="AF65" s="957"/>
      <c r="AG65" s="957"/>
      <c r="AH65" s="957"/>
      <c r="AI65" s="957"/>
      <c r="AJ65" s="956"/>
      <c r="AK65" s="957"/>
      <c r="AL65" s="957"/>
      <c r="AM65" s="957"/>
      <c r="AN65" s="957"/>
      <c r="AO65" s="956"/>
      <c r="AP65" s="957"/>
      <c r="AQ65" s="957"/>
      <c r="AR65" s="957"/>
      <c r="AS65" s="957"/>
      <c r="AT65" s="956"/>
      <c r="AU65" s="957"/>
      <c r="AV65" s="957"/>
      <c r="AW65" s="958"/>
      <c r="AX65" s="957"/>
      <c r="AY65" s="956"/>
      <c r="AZ65" s="957"/>
      <c r="BA65" s="957"/>
      <c r="BB65" s="957"/>
      <c r="BC65" s="957"/>
      <c r="BD65" s="956"/>
      <c r="BE65" s="956"/>
      <c r="BF65" s="956"/>
      <c r="BG65" s="956"/>
      <c r="BH65" s="239"/>
    </row>
    <row r="66" spans="1:60" customFormat="1" x14ac:dyDescent="0.25">
      <c r="A66" s="843" t="s">
        <v>338</v>
      </c>
      <c r="B66" s="840"/>
      <c r="C66" s="959"/>
      <c r="D66" s="959"/>
      <c r="E66" s="959"/>
      <c r="F66" s="959"/>
      <c r="G66" s="959"/>
      <c r="H66" s="959"/>
      <c r="I66" s="959"/>
      <c r="J66" s="959"/>
      <c r="K66" s="959"/>
      <c r="L66" s="959"/>
      <c r="M66" s="959"/>
      <c r="N66" s="959"/>
      <c r="O66" s="959"/>
      <c r="P66" s="959"/>
      <c r="Q66" s="959"/>
      <c r="R66" s="959"/>
      <c r="S66" s="959"/>
      <c r="T66" s="959"/>
      <c r="U66" s="959"/>
      <c r="V66" s="959"/>
      <c r="W66" s="959"/>
      <c r="X66" s="959"/>
      <c r="Y66" s="959"/>
      <c r="Z66" s="959"/>
      <c r="AA66" s="959"/>
      <c r="AB66" s="959"/>
      <c r="AC66" s="959"/>
      <c r="AD66" s="959"/>
      <c r="AE66" s="959"/>
      <c r="AF66" s="959"/>
      <c r="AG66" s="959"/>
      <c r="AH66" s="959"/>
      <c r="AI66" s="959"/>
      <c r="AJ66" s="959"/>
      <c r="AK66" s="959"/>
      <c r="AL66" s="959"/>
      <c r="AM66" s="959"/>
      <c r="AN66" s="959"/>
      <c r="AO66" s="959"/>
      <c r="AP66" s="959"/>
      <c r="AQ66" s="959"/>
      <c r="AR66" s="959"/>
      <c r="AS66" s="959"/>
      <c r="AT66" s="959"/>
      <c r="AU66" s="959"/>
      <c r="AV66" s="959"/>
      <c r="AW66" s="960"/>
      <c r="AX66" s="959"/>
      <c r="AY66" s="959"/>
      <c r="AZ66" s="959"/>
      <c r="BA66" s="959"/>
      <c r="BB66" s="959"/>
      <c r="BC66" s="959"/>
      <c r="BD66" s="959"/>
      <c r="BE66" s="959"/>
      <c r="BF66" s="959"/>
      <c r="BG66" s="959"/>
      <c r="BH66" s="239"/>
    </row>
    <row r="67" spans="1:60" customFormat="1" x14ac:dyDescent="0.25">
      <c r="A67" s="249" t="str">
        <f>INDEX(MO_CFSum_CFO_BeforeWC,0,COLUMN())</f>
        <v>Operating Cash Flow before WC</v>
      </c>
      <c r="B67" s="254"/>
      <c r="C67" s="956">
        <f t="shared" ref="C67:AH67" si="98">INDEX(MO_CFSum_CFO_BeforeWC,0,COLUMN())</f>
        <v>302.48199999999997</v>
      </c>
      <c r="D67" s="956">
        <f t="shared" si="98"/>
        <v>217.26100000000002</v>
      </c>
      <c r="E67" s="956">
        <f t="shared" si="98"/>
        <v>202.11900000000017</v>
      </c>
      <c r="F67" s="956">
        <f t="shared" si="98"/>
        <v>-3.239999999999803</v>
      </c>
      <c r="G67" s="957">
        <f t="shared" si="98"/>
        <v>-37.262000000000022</v>
      </c>
      <c r="H67" s="957">
        <f t="shared" si="98"/>
        <v>-19.978999999999957</v>
      </c>
      <c r="I67" s="957">
        <f t="shared" si="98"/>
        <v>43.646000000000178</v>
      </c>
      <c r="J67" s="957">
        <f t="shared" si="98"/>
        <v>-8.4409999999998178</v>
      </c>
      <c r="K67" s="956">
        <f t="shared" si="98"/>
        <v>-22.035999999999937</v>
      </c>
      <c r="L67" s="957">
        <f t="shared" si="98"/>
        <v>-42.615999999999957</v>
      </c>
      <c r="M67" s="957">
        <f t="shared" si="98"/>
        <v>6.3390000000000235</v>
      </c>
      <c r="N67" s="957">
        <f t="shared" si="98"/>
        <v>-73.371000000000123</v>
      </c>
      <c r="O67" s="957">
        <f t="shared" si="98"/>
        <v>-10.971999999999678</v>
      </c>
      <c r="P67" s="956">
        <f t="shared" si="98"/>
        <v>-120.61999999999988</v>
      </c>
      <c r="Q67" s="957">
        <f t="shared" si="98"/>
        <v>-208.32999999999996</v>
      </c>
      <c r="R67" s="957">
        <f t="shared" si="98"/>
        <v>-205.58099999999999</v>
      </c>
      <c r="S67" s="957">
        <f t="shared" si="98"/>
        <v>-292.23099999999999</v>
      </c>
      <c r="T67" s="957">
        <f t="shared" si="98"/>
        <v>-216.18399999999997</v>
      </c>
      <c r="U67" s="956">
        <f t="shared" si="98"/>
        <v>-922.32599999999979</v>
      </c>
      <c r="V67" s="957">
        <f t="shared" si="98"/>
        <v>-262.19800000000038</v>
      </c>
      <c r="W67" s="957">
        <f t="shared" si="98"/>
        <v>-281.02799999999928</v>
      </c>
      <c r="X67" s="957">
        <f t="shared" si="98"/>
        <v>-548.1230000000005</v>
      </c>
      <c r="Y67" s="957">
        <f t="shared" si="98"/>
        <v>-575.01500000000055</v>
      </c>
      <c r="Z67" s="956">
        <f t="shared" si="98"/>
        <v>-1666.3640000000009</v>
      </c>
      <c r="AA67" s="957">
        <f t="shared" si="98"/>
        <v>-425.06699999999995</v>
      </c>
      <c r="AB67" s="957">
        <f t="shared" si="98"/>
        <v>-399.01000000000067</v>
      </c>
      <c r="AC67" s="957">
        <f t="shared" si="98"/>
        <v>-511.64099999999968</v>
      </c>
      <c r="AD67" s="957">
        <f t="shared" si="98"/>
        <v>-509.20700000000062</v>
      </c>
      <c r="AE67" s="956">
        <f t="shared" si="98"/>
        <v>-1844.9250000000011</v>
      </c>
      <c r="AF67" s="957">
        <f t="shared" si="98"/>
        <v>-443.08399999999926</v>
      </c>
      <c r="AG67" s="957">
        <f t="shared" si="98"/>
        <v>-511.98700000000008</v>
      </c>
      <c r="AH67" s="957">
        <f t="shared" si="98"/>
        <v>-782.97199999999987</v>
      </c>
      <c r="AI67" s="957">
        <f t="shared" ref="AI67:AY67" si="99">INDEX(MO_CFSum_CFO_BeforeWC,0,COLUMN())</f>
        <v>-1236.2030000000002</v>
      </c>
      <c r="AJ67" s="956">
        <f t="shared" si="99"/>
        <v>-2974.2460000000005</v>
      </c>
      <c r="AK67" s="957">
        <f t="shared" si="99"/>
        <v>-424.20999999999964</v>
      </c>
      <c r="AL67" s="957">
        <f t="shared" si="99"/>
        <v>-548.1100000000007</v>
      </c>
      <c r="AM67" s="957">
        <f t="shared" si="99"/>
        <v>-732.97399999999891</v>
      </c>
      <c r="AN67" s="957">
        <f t="shared" si="99"/>
        <v>-1225.0710000000022</v>
      </c>
      <c r="AO67" s="956">
        <f t="shared" si="99"/>
        <v>-2930.365000000003</v>
      </c>
      <c r="AP67" s="957">
        <f t="shared" si="99"/>
        <v>301.6650000000003</v>
      </c>
      <c r="AQ67" s="957">
        <f t="shared" si="99"/>
        <v>1251.7819999999999</v>
      </c>
      <c r="AR67" s="957">
        <f>INDEX(MO_CFSum_CFO_BeforeWC,0,COLUMN())</f>
        <v>918.08900000000085</v>
      </c>
      <c r="AS67" s="957">
        <f>INDEX(MO_CFSum_CFO_BeforeWC,0,COLUMN())</f>
        <v>-12.586000000000723</v>
      </c>
      <c r="AT67" s="956">
        <f>INDEX(MO_CFSum_CFO_BeforeWC,0,COLUMN())</f>
        <v>2458.9499999999998</v>
      </c>
      <c r="AU67" s="957">
        <f t="shared" si="99"/>
        <v>997.32599999999979</v>
      </c>
      <c r="AV67" s="957">
        <f>INDEX(MO_CFSum_CFO_BeforeWC,0,COLUMN())</f>
        <v>113.17899999999972</v>
      </c>
      <c r="AW67" s="958">
        <f>INDEX(MO_CFSum_CFO_BeforeWC,0,COLUMN())</f>
        <v>-101.3400000000008</v>
      </c>
      <c r="AX67" s="957">
        <f t="shared" si="99"/>
        <v>271.5603459323691</v>
      </c>
      <c r="AY67" s="956">
        <f t="shared" si="99"/>
        <v>1280.7253459323672</v>
      </c>
      <c r="AZ67" s="957">
        <f t="shared" ref="AZ67:BG67" ca="1" si="100">INDEX(MO_CFSum_CFO_BeforeWC,0,COLUMN())</f>
        <v>1136.6384881714866</v>
      </c>
      <c r="BA67" s="957">
        <f t="shared" ca="1" si="100"/>
        <v>1160.0774344260517</v>
      </c>
      <c r="BB67" s="957">
        <f t="shared" ca="1" si="100"/>
        <v>1292.8979589021146</v>
      </c>
      <c r="BC67" s="957">
        <f t="shared" ca="1" si="100"/>
        <v>862.27079863117058</v>
      </c>
      <c r="BD67" s="956">
        <f t="shared" ca="1" si="100"/>
        <v>4451.8846801308237</v>
      </c>
      <c r="BE67" s="956">
        <f t="shared" ca="1" si="100"/>
        <v>6867.4865262580552</v>
      </c>
      <c r="BF67" s="956">
        <f t="shared" ca="1" si="100"/>
        <v>9863.1226361945191</v>
      </c>
      <c r="BG67" s="956">
        <f t="shared" ca="1" si="100"/>
        <v>13222.66613696791</v>
      </c>
      <c r="BH67" s="839"/>
    </row>
    <row r="68" spans="1:60" customFormat="1" x14ac:dyDescent="0.25">
      <c r="A68" s="355" t="str">
        <f>INDEX(MO_CFSum_Capex,0,COLUMN())</f>
        <v>Capex</v>
      </c>
      <c r="B68" s="356"/>
      <c r="C68" s="953">
        <f t="shared" ref="C68:AH68" si="101">INDEX(MO_CFSum_Capex,0,COLUMN())</f>
        <v>-238.976</v>
      </c>
      <c r="D68" s="953">
        <f t="shared" si="101"/>
        <v>-157.738</v>
      </c>
      <c r="E68" s="953">
        <f t="shared" si="101"/>
        <v>-134.83600000000001</v>
      </c>
      <c r="F68" s="953">
        <f t="shared" si="101"/>
        <v>-88.552999999999997</v>
      </c>
      <c r="G68" s="954">
        <f t="shared" si="101"/>
        <v>-33.311</v>
      </c>
      <c r="H68" s="954">
        <f t="shared" si="101"/>
        <v>-22.110999999999997</v>
      </c>
      <c r="I68" s="954">
        <f t="shared" si="101"/>
        <v>-26.298999999999996</v>
      </c>
      <c r="J68" s="954">
        <f t="shared" si="101"/>
        <v>-38.349000000000011</v>
      </c>
      <c r="K68" s="953">
        <f t="shared" si="101"/>
        <v>-120.07000000000001</v>
      </c>
      <c r="L68" s="954">
        <f t="shared" si="101"/>
        <v>-28.247999999999998</v>
      </c>
      <c r="M68" s="954">
        <f t="shared" si="101"/>
        <v>-40.850000000000009</v>
      </c>
      <c r="N68" s="954">
        <f t="shared" si="101"/>
        <v>-36.561999999999991</v>
      </c>
      <c r="O68" s="954">
        <f t="shared" si="101"/>
        <v>-38.856000000000009</v>
      </c>
      <c r="P68" s="953">
        <f t="shared" si="101"/>
        <v>-144.51600000000002</v>
      </c>
      <c r="Q68" s="954">
        <f t="shared" si="101"/>
        <v>-35.942</v>
      </c>
      <c r="R68" s="954">
        <f t="shared" si="101"/>
        <v>-47.323999999999998</v>
      </c>
      <c r="S68" s="954">
        <f t="shared" si="101"/>
        <v>-52.287000000000006</v>
      </c>
      <c r="T68" s="954">
        <f t="shared" si="101"/>
        <v>-33.652999999999999</v>
      </c>
      <c r="U68" s="953">
        <f t="shared" si="101"/>
        <v>-169.20600000000002</v>
      </c>
      <c r="V68" s="954">
        <f t="shared" si="101"/>
        <v>-31.632000000000001</v>
      </c>
      <c r="W68" s="954">
        <f t="shared" si="101"/>
        <v>-28.738</v>
      </c>
      <c r="X68" s="954">
        <f t="shared" si="101"/>
        <v>-44.614999999999995</v>
      </c>
      <c r="Y68" s="954">
        <f t="shared" si="101"/>
        <v>-79.845000000000013</v>
      </c>
      <c r="Z68" s="953">
        <f t="shared" si="101"/>
        <v>-184.83</v>
      </c>
      <c r="AA68" s="954">
        <f t="shared" si="101"/>
        <v>-77.89500000000001</v>
      </c>
      <c r="AB68" s="954">
        <f t="shared" si="101"/>
        <v>-72.85499999999999</v>
      </c>
      <c r="AC68" s="954">
        <f t="shared" si="101"/>
        <v>-44.180000000000007</v>
      </c>
      <c r="AD68" s="954">
        <f t="shared" si="101"/>
        <v>-32.091999999999977</v>
      </c>
      <c r="AE68" s="953">
        <f t="shared" si="101"/>
        <v>-227.02199999999999</v>
      </c>
      <c r="AF68" s="954">
        <f t="shared" si="101"/>
        <v>-47.966000000000001</v>
      </c>
      <c r="AG68" s="954">
        <f t="shared" si="101"/>
        <v>-39.874999999999993</v>
      </c>
      <c r="AH68" s="954">
        <f t="shared" si="101"/>
        <v>-47.064</v>
      </c>
      <c r="AI68" s="954">
        <f t="shared" ref="AI68:AY68" si="102">INDEX(MO_CFSum_Capex,0,COLUMN())</f>
        <v>-77.62700000000001</v>
      </c>
      <c r="AJ68" s="953">
        <f t="shared" si="102"/>
        <v>-212.53199999999998</v>
      </c>
      <c r="AK68" s="954">
        <f t="shared" si="102"/>
        <v>-69.551000000000002</v>
      </c>
      <c r="AL68" s="954">
        <f t="shared" si="102"/>
        <v>-47.382000000000005</v>
      </c>
      <c r="AM68" s="954">
        <f t="shared" si="102"/>
        <v>-49.966999999999999</v>
      </c>
      <c r="AN68" s="954">
        <f t="shared" si="102"/>
        <v>-86.134999999999991</v>
      </c>
      <c r="AO68" s="953">
        <f t="shared" si="102"/>
        <v>-253.035</v>
      </c>
      <c r="AP68" s="954">
        <f t="shared" si="102"/>
        <v>-98.015000000000001</v>
      </c>
      <c r="AQ68" s="954">
        <f t="shared" si="102"/>
        <v>-141.74099999999999</v>
      </c>
      <c r="AR68" s="954">
        <f>INDEX(MO_CFSum_Capex,0,COLUMN())</f>
        <v>-109.81100000000001</v>
      </c>
      <c r="AS68" s="954">
        <f>INDEX(MO_CFSum_Capex,0,COLUMN())</f>
        <v>-148.35599999999999</v>
      </c>
      <c r="AT68" s="953">
        <f>INDEX(MO_CFSum_Capex,0,COLUMN())</f>
        <v>-497.923</v>
      </c>
      <c r="AU68" s="954">
        <f t="shared" si="102"/>
        <v>-81.001000000000005</v>
      </c>
      <c r="AV68" s="954">
        <f>INDEX(MO_CFSum_Capex,0,COLUMN())</f>
        <v>-110.27799999999999</v>
      </c>
      <c r="AW68" s="955">
        <f>INDEX(MO_CFSum_Capex,0,COLUMN())</f>
        <v>-167.327</v>
      </c>
      <c r="AX68" s="954">
        <f t="shared" si="102"/>
        <v>-100</v>
      </c>
      <c r="AY68" s="953">
        <f t="shared" si="102"/>
        <v>-458.60599999999999</v>
      </c>
      <c r="AZ68" s="954">
        <f t="shared" ref="AZ68:BG68" si="103">INDEX(MO_CFSum_Capex,0,COLUMN())</f>
        <v>-100</v>
      </c>
      <c r="BA68" s="954">
        <f t="shared" si="103"/>
        <v>-100</v>
      </c>
      <c r="BB68" s="954">
        <f t="shared" si="103"/>
        <v>-100</v>
      </c>
      <c r="BC68" s="954">
        <f t="shared" si="103"/>
        <v>-100</v>
      </c>
      <c r="BD68" s="953">
        <f t="shared" si="103"/>
        <v>-400</v>
      </c>
      <c r="BE68" s="953">
        <f t="shared" si="103"/>
        <v>-400</v>
      </c>
      <c r="BF68" s="953">
        <f t="shared" si="103"/>
        <v>-400</v>
      </c>
      <c r="BG68" s="953">
        <f t="shared" si="103"/>
        <v>-400</v>
      </c>
      <c r="BH68" s="841"/>
    </row>
    <row r="69" spans="1:60" customFormat="1" x14ac:dyDescent="0.25">
      <c r="A69" s="252" t="s">
        <v>339</v>
      </c>
      <c r="B69" s="253"/>
      <c r="C69" s="964">
        <f t="shared" ref="C69:AH69" si="104">SUM(C67:C68)</f>
        <v>63.505999999999972</v>
      </c>
      <c r="D69" s="964">
        <f t="shared" si="104"/>
        <v>59.523000000000025</v>
      </c>
      <c r="E69" s="964">
        <f t="shared" si="104"/>
        <v>67.283000000000158</v>
      </c>
      <c r="F69" s="964">
        <f t="shared" si="104"/>
        <v>-91.792999999999807</v>
      </c>
      <c r="G69" s="965">
        <f t="shared" si="104"/>
        <v>-70.573000000000022</v>
      </c>
      <c r="H69" s="965">
        <f t="shared" si="104"/>
        <v>-42.089999999999954</v>
      </c>
      <c r="I69" s="965">
        <f t="shared" si="104"/>
        <v>17.347000000000182</v>
      </c>
      <c r="J69" s="965">
        <f t="shared" si="104"/>
        <v>-46.789999999999829</v>
      </c>
      <c r="K69" s="964">
        <f t="shared" si="104"/>
        <v>-142.10599999999994</v>
      </c>
      <c r="L69" s="965">
        <f t="shared" si="104"/>
        <v>-70.863999999999947</v>
      </c>
      <c r="M69" s="965">
        <f t="shared" si="104"/>
        <v>-34.510999999999981</v>
      </c>
      <c r="N69" s="965">
        <f t="shared" si="104"/>
        <v>-109.93300000000011</v>
      </c>
      <c r="O69" s="965">
        <f t="shared" si="104"/>
        <v>-49.82799999999969</v>
      </c>
      <c r="P69" s="964">
        <f t="shared" si="104"/>
        <v>-265.13599999999991</v>
      </c>
      <c r="Q69" s="965">
        <f t="shared" si="104"/>
        <v>-244.27199999999996</v>
      </c>
      <c r="R69" s="965">
        <f t="shared" si="104"/>
        <v>-252.90499999999997</v>
      </c>
      <c r="S69" s="965">
        <f t="shared" si="104"/>
        <v>-344.51800000000003</v>
      </c>
      <c r="T69" s="965">
        <f t="shared" si="104"/>
        <v>-249.83699999999996</v>
      </c>
      <c r="U69" s="964">
        <f t="shared" si="104"/>
        <v>-1091.5319999999997</v>
      </c>
      <c r="V69" s="965">
        <f t="shared" si="104"/>
        <v>-293.83000000000038</v>
      </c>
      <c r="W69" s="965">
        <f t="shared" si="104"/>
        <v>-309.76599999999928</v>
      </c>
      <c r="X69" s="965">
        <f t="shared" si="104"/>
        <v>-592.73800000000051</v>
      </c>
      <c r="Y69" s="965">
        <f t="shared" si="104"/>
        <v>-654.86000000000058</v>
      </c>
      <c r="Z69" s="964">
        <f t="shared" si="104"/>
        <v>-1851.1940000000009</v>
      </c>
      <c r="AA69" s="965">
        <f t="shared" si="104"/>
        <v>-502.96199999999999</v>
      </c>
      <c r="AB69" s="965">
        <f t="shared" si="104"/>
        <v>-471.86500000000069</v>
      </c>
      <c r="AC69" s="965">
        <f t="shared" si="104"/>
        <v>-555.82099999999969</v>
      </c>
      <c r="AD69" s="965">
        <f t="shared" si="104"/>
        <v>-541.29900000000055</v>
      </c>
      <c r="AE69" s="964">
        <f t="shared" si="104"/>
        <v>-2071.947000000001</v>
      </c>
      <c r="AF69" s="965">
        <f t="shared" si="104"/>
        <v>-491.04999999999927</v>
      </c>
      <c r="AG69" s="965">
        <f t="shared" si="104"/>
        <v>-551.86200000000008</v>
      </c>
      <c r="AH69" s="965">
        <f t="shared" si="104"/>
        <v>-830.03599999999983</v>
      </c>
      <c r="AI69" s="965">
        <f t="shared" ref="AI69:AY69" si="105">SUM(AI67:AI68)</f>
        <v>-1313.8300000000002</v>
      </c>
      <c r="AJ69" s="964">
        <f t="shared" si="105"/>
        <v>-3186.7780000000007</v>
      </c>
      <c r="AK69" s="965">
        <f t="shared" si="105"/>
        <v>-493.76099999999963</v>
      </c>
      <c r="AL69" s="965">
        <f t="shared" si="105"/>
        <v>-595.49200000000064</v>
      </c>
      <c r="AM69" s="965">
        <f t="shared" si="105"/>
        <v>-782.94099999999889</v>
      </c>
      <c r="AN69" s="965">
        <f t="shared" si="105"/>
        <v>-1311.2060000000022</v>
      </c>
      <c r="AO69" s="964">
        <f t="shared" si="105"/>
        <v>-3183.4000000000028</v>
      </c>
      <c r="AP69" s="965">
        <f t="shared" si="105"/>
        <v>203.65000000000032</v>
      </c>
      <c r="AQ69" s="965">
        <f t="shared" si="105"/>
        <v>1110.0409999999999</v>
      </c>
      <c r="AR69" s="965">
        <f>SUM(AR67:AR68)</f>
        <v>808.27800000000082</v>
      </c>
      <c r="AS69" s="965">
        <f>SUM(AS67:AS68)</f>
        <v>-160.94200000000072</v>
      </c>
      <c r="AT69" s="964">
        <f>SUM(AT67:AT68)</f>
        <v>1961.0269999999998</v>
      </c>
      <c r="AU69" s="965">
        <f t="shared" ref="AU69" si="106">SUM(AU67:AU68)</f>
        <v>916.32499999999982</v>
      </c>
      <c r="AV69" s="965">
        <f>SUM(AV67:AV68)</f>
        <v>2.9009999999997262</v>
      </c>
      <c r="AW69" s="966">
        <f>SUM(AW67:AW68)</f>
        <v>-268.66700000000083</v>
      </c>
      <c r="AX69" s="965">
        <f t="shared" si="105"/>
        <v>171.5603459323691</v>
      </c>
      <c r="AY69" s="964">
        <f t="shared" si="105"/>
        <v>822.1193459323672</v>
      </c>
      <c r="AZ69" s="965">
        <f t="shared" ref="AZ69:BG69" ca="1" si="107">SUM(AZ67:AZ68)</f>
        <v>1036.6384881714866</v>
      </c>
      <c r="BA69" s="965">
        <f t="shared" ca="1" si="107"/>
        <v>1060.0774344260517</v>
      </c>
      <c r="BB69" s="965">
        <f t="shared" ca="1" si="107"/>
        <v>1192.8979589021146</v>
      </c>
      <c r="BC69" s="965">
        <f t="shared" ca="1" si="107"/>
        <v>762.27079863117058</v>
      </c>
      <c r="BD69" s="964">
        <f t="shared" ca="1" si="107"/>
        <v>4051.8846801308237</v>
      </c>
      <c r="BE69" s="964">
        <f t="shared" ca="1" si="107"/>
        <v>6467.4865262580552</v>
      </c>
      <c r="BF69" s="964">
        <f t="shared" ca="1" si="107"/>
        <v>9463.1226361945191</v>
      </c>
      <c r="BG69" s="964">
        <f t="shared" ca="1" si="107"/>
        <v>12822.66613696791</v>
      </c>
      <c r="BH69" s="839"/>
    </row>
    <row r="70" spans="1:60" customFormat="1" x14ac:dyDescent="0.25">
      <c r="A70" s="355" t="str">
        <f>INDEX(MO_CFSum_Dividend,0,COLUMN())</f>
        <v>Dividend Paid</v>
      </c>
      <c r="B70" s="356"/>
      <c r="C70" s="953">
        <f t="shared" ref="C70:AH70" si="108">INDEX(MO_CFSum_Dividend,0,COLUMN())</f>
        <v>0</v>
      </c>
      <c r="D70" s="953">
        <f t="shared" si="108"/>
        <v>0</v>
      </c>
      <c r="E70" s="953">
        <f t="shared" si="108"/>
        <v>0</v>
      </c>
      <c r="F70" s="953">
        <f t="shared" si="108"/>
        <v>0</v>
      </c>
      <c r="G70" s="954">
        <f t="shared" si="108"/>
        <v>0</v>
      </c>
      <c r="H70" s="954">
        <f t="shared" si="108"/>
        <v>0</v>
      </c>
      <c r="I70" s="954">
        <f t="shared" si="108"/>
        <v>0</v>
      </c>
      <c r="J70" s="954">
        <f t="shared" si="108"/>
        <v>0</v>
      </c>
      <c r="K70" s="953">
        <f t="shared" si="108"/>
        <v>0</v>
      </c>
      <c r="L70" s="954">
        <f t="shared" si="108"/>
        <v>0</v>
      </c>
      <c r="M70" s="954">
        <f t="shared" si="108"/>
        <v>0</v>
      </c>
      <c r="N70" s="954">
        <f t="shared" si="108"/>
        <v>0</v>
      </c>
      <c r="O70" s="954">
        <f t="shared" si="108"/>
        <v>0</v>
      </c>
      <c r="P70" s="953">
        <f t="shared" si="108"/>
        <v>0</v>
      </c>
      <c r="Q70" s="954">
        <f t="shared" si="108"/>
        <v>0</v>
      </c>
      <c r="R70" s="954">
        <f t="shared" si="108"/>
        <v>0</v>
      </c>
      <c r="S70" s="954">
        <f t="shared" si="108"/>
        <v>0</v>
      </c>
      <c r="T70" s="954">
        <f t="shared" si="108"/>
        <v>0</v>
      </c>
      <c r="U70" s="953">
        <f t="shared" si="108"/>
        <v>0</v>
      </c>
      <c r="V70" s="954">
        <f t="shared" si="108"/>
        <v>0</v>
      </c>
      <c r="W70" s="954">
        <f t="shared" si="108"/>
        <v>0</v>
      </c>
      <c r="X70" s="954">
        <f t="shared" si="108"/>
        <v>0</v>
      </c>
      <c r="Y70" s="954">
        <f t="shared" si="108"/>
        <v>0</v>
      </c>
      <c r="Z70" s="953">
        <f t="shared" si="108"/>
        <v>0</v>
      </c>
      <c r="AA70" s="954">
        <f t="shared" si="108"/>
        <v>0</v>
      </c>
      <c r="AB70" s="954">
        <f t="shared" si="108"/>
        <v>0</v>
      </c>
      <c r="AC70" s="954">
        <f t="shared" si="108"/>
        <v>0</v>
      </c>
      <c r="AD70" s="954">
        <f t="shared" si="108"/>
        <v>0</v>
      </c>
      <c r="AE70" s="953">
        <f t="shared" si="108"/>
        <v>0</v>
      </c>
      <c r="AF70" s="954">
        <f t="shared" si="108"/>
        <v>0</v>
      </c>
      <c r="AG70" s="954">
        <f t="shared" si="108"/>
        <v>0</v>
      </c>
      <c r="AH70" s="954">
        <f t="shared" si="108"/>
        <v>0</v>
      </c>
      <c r="AI70" s="954">
        <f t="shared" ref="AI70:AY70" si="109">INDEX(MO_CFSum_Dividend,0,COLUMN())</f>
        <v>0</v>
      </c>
      <c r="AJ70" s="953">
        <f t="shared" si="109"/>
        <v>0</v>
      </c>
      <c r="AK70" s="954">
        <f t="shared" si="109"/>
        <v>0</v>
      </c>
      <c r="AL70" s="954">
        <f t="shared" si="109"/>
        <v>0</v>
      </c>
      <c r="AM70" s="954">
        <f t="shared" si="109"/>
        <v>0</v>
      </c>
      <c r="AN70" s="954">
        <f t="shared" si="109"/>
        <v>0</v>
      </c>
      <c r="AO70" s="953">
        <f t="shared" si="109"/>
        <v>0</v>
      </c>
      <c r="AP70" s="954">
        <f t="shared" si="109"/>
        <v>0</v>
      </c>
      <c r="AQ70" s="954">
        <f t="shared" si="109"/>
        <v>0</v>
      </c>
      <c r="AR70" s="954">
        <f>INDEX(MO_CFSum_Dividend,0,COLUMN())</f>
        <v>0</v>
      </c>
      <c r="AS70" s="954">
        <f>INDEX(MO_CFSum_Dividend,0,COLUMN())</f>
        <v>0</v>
      </c>
      <c r="AT70" s="953">
        <f>INDEX(MO_CFSum_Dividend,0,COLUMN())</f>
        <v>0</v>
      </c>
      <c r="AU70" s="954">
        <f t="shared" si="109"/>
        <v>0</v>
      </c>
      <c r="AV70" s="954">
        <f>INDEX(MO_CFSum_Dividend,0,COLUMN())</f>
        <v>0</v>
      </c>
      <c r="AW70" s="955">
        <f>INDEX(MO_CFSum_Dividend,0,COLUMN())</f>
        <v>0</v>
      </c>
      <c r="AX70" s="954">
        <f t="shared" ca="1" si="109"/>
        <v>0</v>
      </c>
      <c r="AY70" s="953">
        <f t="shared" ca="1" si="109"/>
        <v>0</v>
      </c>
      <c r="AZ70" s="954">
        <f t="shared" ref="AZ70:BG70" ca="1" si="110">INDEX(MO_CFSum_Dividend,0,COLUMN())</f>
        <v>0</v>
      </c>
      <c r="BA70" s="954">
        <f t="shared" ca="1" si="110"/>
        <v>0</v>
      </c>
      <c r="BB70" s="954">
        <f t="shared" ca="1" si="110"/>
        <v>0</v>
      </c>
      <c r="BC70" s="954">
        <f t="shared" ca="1" si="110"/>
        <v>0</v>
      </c>
      <c r="BD70" s="953">
        <f t="shared" ca="1" si="110"/>
        <v>0</v>
      </c>
      <c r="BE70" s="953">
        <f t="shared" ca="1" si="110"/>
        <v>0</v>
      </c>
      <c r="BF70" s="953">
        <f t="shared" ca="1" si="110"/>
        <v>0</v>
      </c>
      <c r="BG70" s="953">
        <f t="shared" ca="1" si="110"/>
        <v>0</v>
      </c>
      <c r="BH70" s="841"/>
    </row>
    <row r="71" spans="1:60" customFormat="1" x14ac:dyDescent="0.25">
      <c r="A71" s="252" t="s">
        <v>340</v>
      </c>
      <c r="B71" s="253"/>
      <c r="C71" s="964">
        <f t="shared" ref="C71:AH71" si="111">SUM(C69:C70)</f>
        <v>63.505999999999972</v>
      </c>
      <c r="D71" s="964">
        <f t="shared" si="111"/>
        <v>59.523000000000025</v>
      </c>
      <c r="E71" s="964">
        <f t="shared" si="111"/>
        <v>67.283000000000158</v>
      </c>
      <c r="F71" s="964">
        <f t="shared" si="111"/>
        <v>-91.792999999999807</v>
      </c>
      <c r="G71" s="965">
        <f t="shared" si="111"/>
        <v>-70.573000000000022</v>
      </c>
      <c r="H71" s="965">
        <f t="shared" si="111"/>
        <v>-42.089999999999954</v>
      </c>
      <c r="I71" s="965">
        <f t="shared" si="111"/>
        <v>17.347000000000182</v>
      </c>
      <c r="J71" s="965">
        <f t="shared" si="111"/>
        <v>-46.789999999999829</v>
      </c>
      <c r="K71" s="964">
        <f t="shared" si="111"/>
        <v>-142.10599999999994</v>
      </c>
      <c r="L71" s="965">
        <f t="shared" si="111"/>
        <v>-70.863999999999947</v>
      </c>
      <c r="M71" s="965">
        <f t="shared" si="111"/>
        <v>-34.510999999999981</v>
      </c>
      <c r="N71" s="965">
        <f t="shared" si="111"/>
        <v>-109.93300000000011</v>
      </c>
      <c r="O71" s="965">
        <f t="shared" si="111"/>
        <v>-49.82799999999969</v>
      </c>
      <c r="P71" s="964">
        <f t="shared" si="111"/>
        <v>-265.13599999999991</v>
      </c>
      <c r="Q71" s="965">
        <f t="shared" si="111"/>
        <v>-244.27199999999996</v>
      </c>
      <c r="R71" s="965">
        <f t="shared" si="111"/>
        <v>-252.90499999999997</v>
      </c>
      <c r="S71" s="965">
        <f t="shared" si="111"/>
        <v>-344.51800000000003</v>
      </c>
      <c r="T71" s="965">
        <f t="shared" si="111"/>
        <v>-249.83699999999996</v>
      </c>
      <c r="U71" s="964">
        <f t="shared" si="111"/>
        <v>-1091.5319999999997</v>
      </c>
      <c r="V71" s="965">
        <f t="shared" si="111"/>
        <v>-293.83000000000038</v>
      </c>
      <c r="W71" s="965">
        <f t="shared" si="111"/>
        <v>-309.76599999999928</v>
      </c>
      <c r="X71" s="965">
        <f t="shared" si="111"/>
        <v>-592.73800000000051</v>
      </c>
      <c r="Y71" s="965">
        <f t="shared" si="111"/>
        <v>-654.86000000000058</v>
      </c>
      <c r="Z71" s="964">
        <f t="shared" si="111"/>
        <v>-1851.1940000000009</v>
      </c>
      <c r="AA71" s="965">
        <f t="shared" si="111"/>
        <v>-502.96199999999999</v>
      </c>
      <c r="AB71" s="965">
        <f t="shared" si="111"/>
        <v>-471.86500000000069</v>
      </c>
      <c r="AC71" s="965">
        <f t="shared" si="111"/>
        <v>-555.82099999999969</v>
      </c>
      <c r="AD71" s="965">
        <f t="shared" si="111"/>
        <v>-541.29900000000055</v>
      </c>
      <c r="AE71" s="964">
        <f t="shared" si="111"/>
        <v>-2071.947000000001</v>
      </c>
      <c r="AF71" s="965">
        <f t="shared" si="111"/>
        <v>-491.04999999999927</v>
      </c>
      <c r="AG71" s="965">
        <f t="shared" si="111"/>
        <v>-551.86200000000008</v>
      </c>
      <c r="AH71" s="965">
        <f t="shared" si="111"/>
        <v>-830.03599999999983</v>
      </c>
      <c r="AI71" s="965">
        <f t="shared" ref="AI71:AY71" si="112">SUM(AI69:AI70)</f>
        <v>-1313.8300000000002</v>
      </c>
      <c r="AJ71" s="964">
        <f t="shared" si="112"/>
        <v>-3186.7780000000007</v>
      </c>
      <c r="AK71" s="965">
        <f t="shared" si="112"/>
        <v>-493.76099999999963</v>
      </c>
      <c r="AL71" s="965">
        <f t="shared" si="112"/>
        <v>-595.49200000000064</v>
      </c>
      <c r="AM71" s="965">
        <f t="shared" si="112"/>
        <v>-782.94099999999889</v>
      </c>
      <c r="AN71" s="965">
        <f t="shared" si="112"/>
        <v>-1311.2060000000022</v>
      </c>
      <c r="AO71" s="964">
        <f t="shared" si="112"/>
        <v>-3183.4000000000028</v>
      </c>
      <c r="AP71" s="965">
        <f t="shared" si="112"/>
        <v>203.65000000000032</v>
      </c>
      <c r="AQ71" s="965">
        <f t="shared" si="112"/>
        <v>1110.0409999999999</v>
      </c>
      <c r="AR71" s="965">
        <f>SUM(AR69:AR70)</f>
        <v>808.27800000000082</v>
      </c>
      <c r="AS71" s="965">
        <f>SUM(AS69:AS70)</f>
        <v>-160.94200000000072</v>
      </c>
      <c r="AT71" s="964">
        <f>SUM(AT69:AT70)</f>
        <v>1961.0269999999998</v>
      </c>
      <c r="AU71" s="965">
        <f t="shared" ref="AU71" si="113">SUM(AU69:AU70)</f>
        <v>916.32499999999982</v>
      </c>
      <c r="AV71" s="965">
        <f>SUM(AV69:AV70)</f>
        <v>2.9009999999997262</v>
      </c>
      <c r="AW71" s="966">
        <f>SUM(AW69:AW70)</f>
        <v>-268.66700000000083</v>
      </c>
      <c r="AX71" s="965">
        <f t="shared" ca="1" si="112"/>
        <v>171.5603459323691</v>
      </c>
      <c r="AY71" s="964">
        <f t="shared" ca="1" si="112"/>
        <v>822.1193459323672</v>
      </c>
      <c r="AZ71" s="965">
        <f t="shared" ref="AZ71:BG71" ca="1" si="114">SUM(AZ69:AZ70)</f>
        <v>1036.6384881714866</v>
      </c>
      <c r="BA71" s="965">
        <f t="shared" ca="1" si="114"/>
        <v>1060.0774344260517</v>
      </c>
      <c r="BB71" s="965">
        <f t="shared" ca="1" si="114"/>
        <v>1192.8979589021146</v>
      </c>
      <c r="BC71" s="965">
        <f t="shared" ca="1" si="114"/>
        <v>762.27079863117058</v>
      </c>
      <c r="BD71" s="964">
        <f t="shared" ca="1" si="114"/>
        <v>4051.8846801308237</v>
      </c>
      <c r="BE71" s="964">
        <f t="shared" ca="1" si="114"/>
        <v>6467.4865262580552</v>
      </c>
      <c r="BF71" s="964">
        <f t="shared" ca="1" si="114"/>
        <v>9463.1226361945191</v>
      </c>
      <c r="BG71" s="964">
        <f t="shared" ca="1" si="114"/>
        <v>12822.66613696791</v>
      </c>
      <c r="BH71" s="839"/>
    </row>
    <row r="72" spans="1:60" customFormat="1" x14ac:dyDescent="0.25">
      <c r="A72" s="250" t="str">
        <f>INDEX(MO_CFSum_Acquisition,0,COLUMN())</f>
        <v>Acquisitions</v>
      </c>
      <c r="B72" s="251"/>
      <c r="C72" s="961">
        <f t="shared" ref="C72:AH72" si="115">INDEX(MO_CFSum_Acquisition,0,COLUMN())</f>
        <v>0</v>
      </c>
      <c r="D72" s="961">
        <f t="shared" si="115"/>
        <v>0</v>
      </c>
      <c r="E72" s="961">
        <f t="shared" si="115"/>
        <v>0</v>
      </c>
      <c r="F72" s="961">
        <f t="shared" si="115"/>
        <v>0</v>
      </c>
      <c r="G72" s="962">
        <f t="shared" si="115"/>
        <v>0</v>
      </c>
      <c r="H72" s="962">
        <f t="shared" si="115"/>
        <v>0</v>
      </c>
      <c r="I72" s="962">
        <f t="shared" si="115"/>
        <v>0</v>
      </c>
      <c r="J72" s="962">
        <f t="shared" si="115"/>
        <v>0</v>
      </c>
      <c r="K72" s="961">
        <f t="shared" si="115"/>
        <v>0</v>
      </c>
      <c r="L72" s="962">
        <f t="shared" si="115"/>
        <v>0</v>
      </c>
      <c r="M72" s="962">
        <f t="shared" si="115"/>
        <v>0</v>
      </c>
      <c r="N72" s="962">
        <f t="shared" si="115"/>
        <v>0</v>
      </c>
      <c r="O72" s="962">
        <f t="shared" si="115"/>
        <v>0</v>
      </c>
      <c r="P72" s="961">
        <f t="shared" si="115"/>
        <v>0</v>
      </c>
      <c r="Q72" s="962">
        <f t="shared" si="115"/>
        <v>0</v>
      </c>
      <c r="R72" s="962">
        <f t="shared" si="115"/>
        <v>0</v>
      </c>
      <c r="S72" s="962">
        <f t="shared" si="115"/>
        <v>0</v>
      </c>
      <c r="T72" s="962">
        <f t="shared" si="115"/>
        <v>0</v>
      </c>
      <c r="U72" s="961">
        <f t="shared" si="115"/>
        <v>0</v>
      </c>
      <c r="V72" s="962">
        <f t="shared" si="115"/>
        <v>0</v>
      </c>
      <c r="W72" s="962">
        <f t="shared" si="115"/>
        <v>0</v>
      </c>
      <c r="X72" s="962">
        <f t="shared" si="115"/>
        <v>0</v>
      </c>
      <c r="Y72" s="962">
        <f t="shared" si="115"/>
        <v>0</v>
      </c>
      <c r="Z72" s="961">
        <f t="shared" si="115"/>
        <v>0</v>
      </c>
      <c r="AA72" s="962">
        <f t="shared" si="115"/>
        <v>0</v>
      </c>
      <c r="AB72" s="962">
        <f t="shared" si="115"/>
        <v>0</v>
      </c>
      <c r="AC72" s="962">
        <f t="shared" si="115"/>
        <v>0</v>
      </c>
      <c r="AD72" s="962">
        <f t="shared" si="115"/>
        <v>0</v>
      </c>
      <c r="AE72" s="961">
        <f t="shared" si="115"/>
        <v>0</v>
      </c>
      <c r="AF72" s="962">
        <f t="shared" si="115"/>
        <v>0</v>
      </c>
      <c r="AG72" s="962">
        <f t="shared" si="115"/>
        <v>0</v>
      </c>
      <c r="AH72" s="962">
        <f t="shared" si="115"/>
        <v>0</v>
      </c>
      <c r="AI72" s="962">
        <f t="shared" ref="AI72:AY72" si="116">INDEX(MO_CFSum_Acquisition,0,COLUMN())</f>
        <v>0</v>
      </c>
      <c r="AJ72" s="961">
        <f t="shared" si="116"/>
        <v>0</v>
      </c>
      <c r="AK72" s="962">
        <f t="shared" si="116"/>
        <v>0</v>
      </c>
      <c r="AL72" s="962">
        <f t="shared" si="116"/>
        <v>0</v>
      </c>
      <c r="AM72" s="962">
        <f t="shared" si="116"/>
        <v>0</v>
      </c>
      <c r="AN72" s="962">
        <f t="shared" si="116"/>
        <v>0</v>
      </c>
      <c r="AO72" s="961">
        <f t="shared" si="116"/>
        <v>0</v>
      </c>
      <c r="AP72" s="962">
        <f t="shared" si="116"/>
        <v>0</v>
      </c>
      <c r="AQ72" s="962">
        <f t="shared" si="116"/>
        <v>0</v>
      </c>
      <c r="AR72" s="962">
        <f>INDEX(MO_CFSum_Acquisition,0,COLUMN())</f>
        <v>0</v>
      </c>
      <c r="AS72" s="962">
        <f>INDEX(MO_CFSum_Acquisition,0,COLUMN())</f>
        <v>0</v>
      </c>
      <c r="AT72" s="961">
        <f>INDEX(MO_CFSum_Acquisition,0,COLUMN())</f>
        <v>0</v>
      </c>
      <c r="AU72" s="962">
        <f t="shared" si="116"/>
        <v>0</v>
      </c>
      <c r="AV72" s="962">
        <f>INDEX(MO_CFSum_Acquisition,0,COLUMN())</f>
        <v>0</v>
      </c>
      <c r="AW72" s="963">
        <f>INDEX(MO_CFSum_Acquisition,0,COLUMN())</f>
        <v>0</v>
      </c>
      <c r="AX72" s="962">
        <f t="shared" si="116"/>
        <v>0</v>
      </c>
      <c r="AY72" s="961">
        <f t="shared" si="116"/>
        <v>0</v>
      </c>
      <c r="AZ72" s="962">
        <f t="shared" ref="AZ72:BG72" si="117">INDEX(MO_CFSum_Acquisition,0,COLUMN())</f>
        <v>0</v>
      </c>
      <c r="BA72" s="962">
        <f t="shared" si="117"/>
        <v>0</v>
      </c>
      <c r="BB72" s="962">
        <f t="shared" si="117"/>
        <v>0</v>
      </c>
      <c r="BC72" s="962">
        <f t="shared" si="117"/>
        <v>0</v>
      </c>
      <c r="BD72" s="961">
        <f t="shared" si="117"/>
        <v>0</v>
      </c>
      <c r="BE72" s="961">
        <f t="shared" si="117"/>
        <v>0</v>
      </c>
      <c r="BF72" s="961">
        <f t="shared" si="117"/>
        <v>0</v>
      </c>
      <c r="BG72" s="961">
        <f t="shared" si="117"/>
        <v>0</v>
      </c>
      <c r="BH72" s="841"/>
    </row>
    <row r="73" spans="1:60" customFormat="1" x14ac:dyDescent="0.25">
      <c r="A73" s="250" t="str">
        <f>INDEX(MO_CFSum_Divestiture,0,COLUMN())</f>
        <v>Divestiture</v>
      </c>
      <c r="B73" s="251"/>
      <c r="C73" s="961">
        <f t="shared" ref="C73:AH73" si="118">INDEX(MO_CFSum_Divestiture,0,COLUMN())</f>
        <v>18.646999999999998</v>
      </c>
      <c r="D73" s="961">
        <f t="shared" si="118"/>
        <v>0</v>
      </c>
      <c r="E73" s="961">
        <f t="shared" si="118"/>
        <v>0</v>
      </c>
      <c r="F73" s="961">
        <f t="shared" si="118"/>
        <v>0</v>
      </c>
      <c r="G73" s="962">
        <f t="shared" si="118"/>
        <v>0</v>
      </c>
      <c r="H73" s="962">
        <f t="shared" si="118"/>
        <v>0</v>
      </c>
      <c r="I73" s="962">
        <f t="shared" si="118"/>
        <v>0</v>
      </c>
      <c r="J73" s="962">
        <f t="shared" si="118"/>
        <v>0</v>
      </c>
      <c r="K73" s="961">
        <f t="shared" si="118"/>
        <v>0</v>
      </c>
      <c r="L73" s="962">
        <f t="shared" si="118"/>
        <v>0</v>
      </c>
      <c r="M73" s="962">
        <f t="shared" si="118"/>
        <v>0</v>
      </c>
      <c r="N73" s="962">
        <f t="shared" si="118"/>
        <v>0</v>
      </c>
      <c r="O73" s="962">
        <f t="shared" si="118"/>
        <v>0</v>
      </c>
      <c r="P73" s="961">
        <f t="shared" si="118"/>
        <v>0</v>
      </c>
      <c r="Q73" s="962">
        <f t="shared" si="118"/>
        <v>0</v>
      </c>
      <c r="R73" s="962">
        <f t="shared" si="118"/>
        <v>0</v>
      </c>
      <c r="S73" s="962">
        <f t="shared" si="118"/>
        <v>0</v>
      </c>
      <c r="T73" s="962">
        <f t="shared" si="118"/>
        <v>0</v>
      </c>
      <c r="U73" s="961">
        <f t="shared" si="118"/>
        <v>0</v>
      </c>
      <c r="V73" s="962">
        <f t="shared" si="118"/>
        <v>0</v>
      </c>
      <c r="W73" s="962">
        <f t="shared" si="118"/>
        <v>0</v>
      </c>
      <c r="X73" s="962">
        <f t="shared" si="118"/>
        <v>0</v>
      </c>
      <c r="Y73" s="962">
        <f t="shared" si="118"/>
        <v>0</v>
      </c>
      <c r="Z73" s="961">
        <f t="shared" si="118"/>
        <v>0</v>
      </c>
      <c r="AA73" s="962">
        <f t="shared" si="118"/>
        <v>0</v>
      </c>
      <c r="AB73" s="962">
        <f t="shared" si="118"/>
        <v>0</v>
      </c>
      <c r="AC73" s="962">
        <f t="shared" si="118"/>
        <v>0</v>
      </c>
      <c r="AD73" s="962">
        <f t="shared" si="118"/>
        <v>0</v>
      </c>
      <c r="AE73" s="961">
        <f t="shared" si="118"/>
        <v>0</v>
      </c>
      <c r="AF73" s="962">
        <f t="shared" si="118"/>
        <v>0</v>
      </c>
      <c r="AG73" s="962">
        <f t="shared" si="118"/>
        <v>0</v>
      </c>
      <c r="AH73" s="962">
        <f t="shared" si="118"/>
        <v>0</v>
      </c>
      <c r="AI73" s="962">
        <f t="shared" ref="AI73:AY73" si="119">INDEX(MO_CFSum_Divestiture,0,COLUMN())</f>
        <v>0</v>
      </c>
      <c r="AJ73" s="961">
        <f t="shared" si="119"/>
        <v>0</v>
      </c>
      <c r="AK73" s="962">
        <f t="shared" si="119"/>
        <v>0</v>
      </c>
      <c r="AL73" s="962">
        <f t="shared" si="119"/>
        <v>0</v>
      </c>
      <c r="AM73" s="962">
        <f t="shared" si="119"/>
        <v>0</v>
      </c>
      <c r="AN73" s="962">
        <f t="shared" si="119"/>
        <v>0</v>
      </c>
      <c r="AO73" s="961">
        <f t="shared" si="119"/>
        <v>0</v>
      </c>
      <c r="AP73" s="962">
        <f t="shared" si="119"/>
        <v>0</v>
      </c>
      <c r="AQ73" s="962">
        <f t="shared" si="119"/>
        <v>0</v>
      </c>
      <c r="AR73" s="962">
        <f>INDEX(MO_CFSum_Divestiture,0,COLUMN())</f>
        <v>0</v>
      </c>
      <c r="AS73" s="962">
        <f>INDEX(MO_CFSum_Divestiture,0,COLUMN())</f>
        <v>0</v>
      </c>
      <c r="AT73" s="961">
        <f>INDEX(MO_CFSum_Divestiture,0,COLUMN())</f>
        <v>0</v>
      </c>
      <c r="AU73" s="962">
        <f t="shared" si="119"/>
        <v>0</v>
      </c>
      <c r="AV73" s="962">
        <f>INDEX(MO_CFSum_Divestiture,0,COLUMN())</f>
        <v>0</v>
      </c>
      <c r="AW73" s="963">
        <f>INDEX(MO_CFSum_Divestiture,0,COLUMN())</f>
        <v>0</v>
      </c>
      <c r="AX73" s="962">
        <f t="shared" si="119"/>
        <v>0</v>
      </c>
      <c r="AY73" s="961">
        <f t="shared" si="119"/>
        <v>0</v>
      </c>
      <c r="AZ73" s="962">
        <f t="shared" ref="AZ73:BG73" si="120">INDEX(MO_CFSum_Divestiture,0,COLUMN())</f>
        <v>0</v>
      </c>
      <c r="BA73" s="962">
        <f t="shared" si="120"/>
        <v>0</v>
      </c>
      <c r="BB73" s="962">
        <f t="shared" si="120"/>
        <v>0</v>
      </c>
      <c r="BC73" s="962">
        <f t="shared" si="120"/>
        <v>0</v>
      </c>
      <c r="BD73" s="961">
        <f t="shared" si="120"/>
        <v>0</v>
      </c>
      <c r="BE73" s="961">
        <f t="shared" si="120"/>
        <v>0</v>
      </c>
      <c r="BF73" s="961">
        <f t="shared" si="120"/>
        <v>0</v>
      </c>
      <c r="BG73" s="961">
        <f t="shared" si="120"/>
        <v>0</v>
      </c>
      <c r="BH73" s="841"/>
    </row>
    <row r="74" spans="1:60" customFormat="1" x14ac:dyDescent="0.25">
      <c r="A74" s="250" t="s">
        <v>341</v>
      </c>
      <c r="B74" s="251"/>
      <c r="C74" s="961">
        <f t="shared" ref="C74:AH74" ca="1" si="121">SUM(OFFSET(INDEX(MO_CFS_CFO_BeforeWC,0,COLUMN()),1,0,ROW(INDEX(MO_CFS_CFO,0,COLUMN()))-ROW(INDEX(MO_CFS_CFO_BeforeWC,0,COLUMN()))-1,1))</f>
        <v>22.581</v>
      </c>
      <c r="D74" s="961">
        <f t="shared" ca="1" si="121"/>
        <v>59.139999999999993</v>
      </c>
      <c r="E74" s="961">
        <f t="shared" ca="1" si="121"/>
        <v>115.593</v>
      </c>
      <c r="F74" s="961">
        <f t="shared" ca="1" si="121"/>
        <v>24.826000000000001</v>
      </c>
      <c r="G74" s="962">
        <f t="shared" ca="1" si="121"/>
        <v>25.012</v>
      </c>
      <c r="H74" s="962">
        <f t="shared" ca="1" si="121"/>
        <v>53.921999999999997</v>
      </c>
      <c r="I74" s="962">
        <f t="shared" ca="1" si="121"/>
        <v>-8.9530000000000047</v>
      </c>
      <c r="J74" s="962">
        <f t="shared" ca="1" si="121"/>
        <v>49.886000000000003</v>
      </c>
      <c r="K74" s="961">
        <f t="shared" ca="1" si="121"/>
        <v>119.86699999999999</v>
      </c>
      <c r="L74" s="962">
        <f t="shared" ca="1" si="121"/>
        <v>78.974999999999994</v>
      </c>
      <c r="M74" s="962">
        <f t="shared" ca="1" si="121"/>
        <v>49.684999999999988</v>
      </c>
      <c r="N74" s="962">
        <f t="shared" ca="1" si="121"/>
        <v>35.932000000000002</v>
      </c>
      <c r="O74" s="962">
        <f t="shared" ca="1" si="121"/>
        <v>-27.48899999999999</v>
      </c>
      <c r="P74" s="961">
        <f t="shared" ca="1" si="121"/>
        <v>137.10300000000001</v>
      </c>
      <c r="Q74" s="962">
        <f t="shared" ca="1" si="121"/>
        <v>80.947999999999993</v>
      </c>
      <c r="R74" s="962">
        <f t="shared" ca="1" si="121"/>
        <v>24.23800000000001</v>
      </c>
      <c r="S74" s="962">
        <f t="shared" ca="1" si="121"/>
        <v>96.261999999999986</v>
      </c>
      <c r="T74" s="962">
        <f t="shared" ca="1" si="121"/>
        <v>-28.560999999999996</v>
      </c>
      <c r="U74" s="961">
        <f t="shared" ca="1" si="121"/>
        <v>172.887</v>
      </c>
      <c r="V74" s="962">
        <f t="shared" ca="1" si="121"/>
        <v>33.60799999999999</v>
      </c>
      <c r="W74" s="962">
        <f t="shared" ca="1" si="121"/>
        <v>54.735000000000014</v>
      </c>
      <c r="X74" s="962">
        <f t="shared" ca="1" si="121"/>
        <v>86.181999999999988</v>
      </c>
      <c r="Y74" s="962">
        <f t="shared" ca="1" si="121"/>
        <v>17.855000000000011</v>
      </c>
      <c r="Z74" s="961">
        <f t="shared" ca="1" si="121"/>
        <v>192.38</v>
      </c>
      <c r="AA74" s="962">
        <f t="shared" ca="1" si="121"/>
        <v>81.210999999999999</v>
      </c>
      <c r="AB74" s="962">
        <f t="shared" ca="1" si="121"/>
        <v>-135.51800000000003</v>
      </c>
      <c r="AC74" s="962">
        <f t="shared" ca="1" si="121"/>
        <v>92.033999999999992</v>
      </c>
      <c r="AD74" s="962">
        <f t="shared" ca="1" si="121"/>
        <v>21.249999999999986</v>
      </c>
      <c r="AE74" s="961">
        <f t="shared" ca="1" si="121"/>
        <v>58.976999999999975</v>
      </c>
      <c r="AF74" s="962">
        <f t="shared" ca="1" si="121"/>
        <v>206.32700000000003</v>
      </c>
      <c r="AG74" s="962">
        <f t="shared" ca="1" si="121"/>
        <v>-6.2520000000000095</v>
      </c>
      <c r="AH74" s="962">
        <f t="shared" ca="1" si="121"/>
        <v>92.561000000000007</v>
      </c>
      <c r="AI74" s="962">
        <f t="shared" ref="AI74:AY74" ca="1" si="122">SUM(OFFSET(INDEX(MO_CFS_CFO_BeforeWC,0,COLUMN()),1,0,ROW(INDEX(MO_CFS_CFO,0,COLUMN()))-ROW(INDEX(MO_CFS_CFO_BeforeWC,0,COLUMN()))-1,1))</f>
        <v>1.1309999999999718</v>
      </c>
      <c r="AJ74" s="961">
        <f t="shared" ca="1" si="122"/>
        <v>293.767</v>
      </c>
      <c r="AK74" s="962">
        <f t="shared" ca="1" si="122"/>
        <v>44.410999999999987</v>
      </c>
      <c r="AL74" s="962">
        <f t="shared" ca="1" si="122"/>
        <v>4.3559999999999874</v>
      </c>
      <c r="AM74" s="962">
        <f t="shared" ca="1" si="122"/>
        <v>231.18000000000006</v>
      </c>
      <c r="AN74" s="962">
        <f t="shared" ca="1" si="122"/>
        <v>-236.90400000000005</v>
      </c>
      <c r="AO74" s="961">
        <f t="shared" ca="1" si="122"/>
        <v>43.042999999999978</v>
      </c>
      <c r="AP74" s="962">
        <f t="shared" ca="1" si="122"/>
        <v>-41.752999999999965</v>
      </c>
      <c r="AQ74" s="962">
        <f t="shared" ca="1" si="122"/>
        <v>-210.70600000000002</v>
      </c>
      <c r="AR74" s="962">
        <f ca="1">SUM(OFFSET(INDEX(MO_CFS_CFO_BeforeWC,0,COLUMN()),1,0,ROW(INDEX(MO_CFS_CFO,0,COLUMN()))-ROW(INDEX(MO_CFS_CFO_BeforeWC,0,COLUMN()))-1,1))</f>
        <v>345.67199999999997</v>
      </c>
      <c r="AS74" s="962">
        <f ca="1">SUM(OFFSET(INDEX(MO_CFS_CFO_BeforeWC,0,COLUMN()),1,0,ROW(INDEX(MO_CFS_CFO,0,COLUMN()))-ROW(INDEX(MO_CFS_CFO_BeforeWC,0,COLUMN()))-1,1))</f>
        <v>-125.08599999999994</v>
      </c>
      <c r="AT74" s="961">
        <f ca="1">SUM(OFFSET(INDEX(MO_CFS_CFO_BeforeWC,0,COLUMN()),1,0,ROW(INDEX(MO_CFS_CFO,0,COLUMN()))-ROW(INDEX(MO_CFS_CFO_BeforeWC,0,COLUMN()))-1,1))</f>
        <v>-31.872999999999962</v>
      </c>
      <c r="AU74" s="962">
        <f t="shared" ca="1" si="122"/>
        <v>-220.06</v>
      </c>
      <c r="AV74" s="962">
        <f ca="1">SUM(OFFSET(INDEX(MO_CFS_CFO_BeforeWC,0,COLUMN()),1,0,ROW(INDEX(MO_CFS_CFO,0,COLUMN()))-ROW(INDEX(MO_CFS_CFO_BeforeWC,0,COLUMN()))-1,1))</f>
        <v>-176.94</v>
      </c>
      <c r="AW74" s="963">
        <f ca="1">SUM(OFFSET(INDEX(MO_CFS_CFO_BeforeWC,0,COLUMN()),1,0,ROW(INDEX(MO_CFS_CFO,0,COLUMN()))-ROW(INDEX(MO_CFS_CFO_BeforeWC,0,COLUMN()))-1,1))</f>
        <v>183.71900000000002</v>
      </c>
      <c r="AX74" s="962">
        <f t="shared" ca="1" si="122"/>
        <v>219.87264437689942</v>
      </c>
      <c r="AY74" s="961">
        <f t="shared" ca="1" si="122"/>
        <v>6.59164437689941</v>
      </c>
      <c r="AZ74" s="962">
        <f t="shared" ref="AZ74:BG74" ca="1" si="123">SUM(OFFSET(INDEX(MO_CFS_CFO_BeforeWC,0,COLUMN()),1,0,ROW(INDEX(MO_CFS_CFO,0,COLUMN()))-ROW(INDEX(MO_CFS_CFO_BeforeWC,0,COLUMN()))-1,1))</f>
        <v>-109.28375164508759</v>
      </c>
      <c r="BA74" s="962">
        <f t="shared" ca="1" si="123"/>
        <v>-195.4129976086532</v>
      </c>
      <c r="BB74" s="962">
        <f t="shared" ca="1" si="123"/>
        <v>263.24254846541578</v>
      </c>
      <c r="BC74" s="962">
        <f t="shared" ca="1" si="123"/>
        <v>236.82354523851336</v>
      </c>
      <c r="BD74" s="961">
        <f t="shared" ca="1" si="123"/>
        <v>195.36934445018835</v>
      </c>
      <c r="BE74" s="961">
        <f t="shared" ca="1" si="123"/>
        <v>227.1877696388284</v>
      </c>
      <c r="BF74" s="961">
        <f t="shared" ca="1" si="123"/>
        <v>275.7345504535333</v>
      </c>
      <c r="BG74" s="961">
        <f t="shared" ca="1" si="123"/>
        <v>319.81082330449431</v>
      </c>
      <c r="BH74" s="841"/>
    </row>
    <row r="75" spans="1:60" customFormat="1" x14ac:dyDescent="0.25">
      <c r="A75" s="250" t="s">
        <v>342</v>
      </c>
      <c r="B75" s="251"/>
      <c r="C75" s="961">
        <f t="shared" ref="C75:AH75" si="124">INDEX(MO_CFSum_NetShares,0,COLUMN())</f>
        <v>241.874</v>
      </c>
      <c r="D75" s="961">
        <f t="shared" si="124"/>
        <v>111.99000000000001</v>
      </c>
      <c r="E75" s="961">
        <f t="shared" si="124"/>
        <v>265.34499999999997</v>
      </c>
      <c r="F75" s="961">
        <f t="shared" si="124"/>
        <v>7.9079999999999995</v>
      </c>
      <c r="G75" s="962">
        <f t="shared" si="124"/>
        <v>41.347000000000001</v>
      </c>
      <c r="H75" s="962">
        <f t="shared" si="124"/>
        <v>49.214000000000006</v>
      </c>
      <c r="I75" s="962">
        <f t="shared" si="124"/>
        <v>46.052999999999997</v>
      </c>
      <c r="J75" s="962">
        <f t="shared" si="124"/>
        <v>60.192</v>
      </c>
      <c r="K75" s="961">
        <f t="shared" si="124"/>
        <v>196.80599999999998</v>
      </c>
      <c r="L75" s="962">
        <f t="shared" si="124"/>
        <v>58.453000000000003</v>
      </c>
      <c r="M75" s="962">
        <f t="shared" si="124"/>
        <v>28.744</v>
      </c>
      <c r="N75" s="962">
        <f t="shared" si="124"/>
        <v>30.936999999999998</v>
      </c>
      <c r="O75" s="962">
        <f t="shared" si="124"/>
        <v>24.670999999999992</v>
      </c>
      <c r="P75" s="961">
        <f t="shared" si="124"/>
        <v>142.80500000000001</v>
      </c>
      <c r="Q75" s="962">
        <f t="shared" si="124"/>
        <v>22.685000000000002</v>
      </c>
      <c r="R75" s="962">
        <f t="shared" si="124"/>
        <v>62.833999999999989</v>
      </c>
      <c r="S75" s="962">
        <f t="shared" si="124"/>
        <v>72.814999999999998</v>
      </c>
      <c r="T75" s="962">
        <f t="shared" si="124"/>
        <v>-17.511999999999986</v>
      </c>
      <c r="U75" s="961">
        <f t="shared" si="124"/>
        <v>140.822</v>
      </c>
      <c r="V75" s="962">
        <f t="shared" si="124"/>
        <v>14.852</v>
      </c>
      <c r="W75" s="962">
        <f t="shared" si="124"/>
        <v>17.555</v>
      </c>
      <c r="X75" s="962">
        <f t="shared" si="124"/>
        <v>16.581000000000003</v>
      </c>
      <c r="Y75" s="962">
        <f t="shared" si="124"/>
        <v>42.411999999999992</v>
      </c>
      <c r="Z75" s="961">
        <f t="shared" si="124"/>
        <v>91.399999999999991</v>
      </c>
      <c r="AA75" s="962">
        <f t="shared" si="124"/>
        <v>24.178000000000001</v>
      </c>
      <c r="AB75" s="962">
        <f t="shared" si="124"/>
        <v>14.825999999999997</v>
      </c>
      <c r="AC75" s="962">
        <f t="shared" si="124"/>
        <v>19.344000000000005</v>
      </c>
      <c r="AD75" s="962">
        <f t="shared" si="124"/>
        <v>-2.1230000000000011</v>
      </c>
      <c r="AE75" s="961">
        <f t="shared" si="124"/>
        <v>56.225000000000001</v>
      </c>
      <c r="AF75" s="962">
        <f t="shared" si="124"/>
        <v>56.335000000000001</v>
      </c>
      <c r="AG75" s="962">
        <f t="shared" si="124"/>
        <v>26.936</v>
      </c>
      <c r="AH75" s="962">
        <f t="shared" si="124"/>
        <v>29.781000000000006</v>
      </c>
      <c r="AI75" s="962">
        <f t="shared" ref="AI75:AY75" si="125">INDEX(MO_CFSum_NetShares,0,COLUMN())</f>
        <v>11.449999999999989</v>
      </c>
      <c r="AJ75" s="961">
        <f t="shared" si="125"/>
        <v>124.502</v>
      </c>
      <c r="AK75" s="962">
        <f t="shared" si="125"/>
        <v>22.972000000000001</v>
      </c>
      <c r="AL75" s="962">
        <f t="shared" si="125"/>
        <v>21.896000000000001</v>
      </c>
      <c r="AM75" s="962">
        <f t="shared" si="125"/>
        <v>11.988999999999997</v>
      </c>
      <c r="AN75" s="962">
        <f t="shared" si="125"/>
        <v>15.632999999999996</v>
      </c>
      <c r="AO75" s="961">
        <f t="shared" si="125"/>
        <v>72.489999999999995</v>
      </c>
      <c r="AP75" s="962">
        <f t="shared" si="125"/>
        <v>43.694000000000003</v>
      </c>
      <c r="AQ75" s="962">
        <f t="shared" si="125"/>
        <v>89.059999999999988</v>
      </c>
      <c r="AR75" s="962">
        <f>INDEX(MO_CFSum_NetShares,0,COLUMN())</f>
        <v>68.66500000000002</v>
      </c>
      <c r="AS75" s="962">
        <f>INDEX(MO_CFSum_NetShares,0,COLUMN())</f>
        <v>33.986999999999995</v>
      </c>
      <c r="AT75" s="961">
        <f>INDEX(MO_CFSum_NetShares,0,COLUMN())</f>
        <v>235.40600000000001</v>
      </c>
      <c r="AU75" s="962">
        <f t="shared" si="125"/>
        <v>48.070999999999998</v>
      </c>
      <c r="AV75" s="962">
        <f>INDEX(MO_CFSum_NetShares,0,COLUMN())</f>
        <v>-480.27300000000002</v>
      </c>
      <c r="AW75" s="963">
        <f>INDEX(MO_CFSum_NetShares,0,COLUMN())</f>
        <v>-81.555000000000049</v>
      </c>
      <c r="AX75" s="962">
        <f t="shared" si="125"/>
        <v>0</v>
      </c>
      <c r="AY75" s="961">
        <f t="shared" si="125"/>
        <v>-513.75700000000006</v>
      </c>
      <c r="AZ75" s="962">
        <f t="shared" ref="AZ75:BG75" si="126">INDEX(MO_CFSum_NetShares,0,COLUMN())</f>
        <v>0</v>
      </c>
      <c r="BA75" s="962">
        <f t="shared" si="126"/>
        <v>0</v>
      </c>
      <c r="BB75" s="962">
        <f t="shared" si="126"/>
        <v>0</v>
      </c>
      <c r="BC75" s="962">
        <f t="shared" si="126"/>
        <v>0</v>
      </c>
      <c r="BD75" s="961">
        <f t="shared" si="126"/>
        <v>0</v>
      </c>
      <c r="BE75" s="961">
        <f t="shared" si="126"/>
        <v>0</v>
      </c>
      <c r="BF75" s="961">
        <f t="shared" si="126"/>
        <v>0</v>
      </c>
      <c r="BG75" s="961">
        <f t="shared" si="126"/>
        <v>0</v>
      </c>
      <c r="BH75" s="841"/>
    </row>
    <row r="76" spans="1:60" customFormat="1" x14ac:dyDescent="0.25">
      <c r="A76" s="250" t="s">
        <v>343</v>
      </c>
      <c r="B76" s="251"/>
      <c r="C76" s="961">
        <f t="shared" ref="C76:AH76" si="127">INDEX(MO_CFSum_NetDebtIssuance,0,COLUMN())</f>
        <v>-326.51499999999999</v>
      </c>
      <c r="D76" s="961">
        <f t="shared" si="127"/>
        <v>-212.035</v>
      </c>
      <c r="E76" s="961">
        <f t="shared" si="127"/>
        <v>-3.6889999999999947</v>
      </c>
      <c r="F76" s="961">
        <f t="shared" si="127"/>
        <v>-2.319</v>
      </c>
      <c r="G76" s="962">
        <f t="shared" si="127"/>
        <v>280.23500000000001</v>
      </c>
      <c r="H76" s="962">
        <f t="shared" si="127"/>
        <v>-0.255</v>
      </c>
      <c r="I76" s="962">
        <f t="shared" si="127"/>
        <v>-0.25800000000000001</v>
      </c>
      <c r="J76" s="962">
        <f t="shared" si="127"/>
        <v>-0.2639999999999999</v>
      </c>
      <c r="K76" s="961">
        <f t="shared" si="127"/>
        <v>279.45800000000003</v>
      </c>
      <c r="L76" s="962">
        <f t="shared" si="127"/>
        <v>399.733</v>
      </c>
      <c r="M76" s="962">
        <f t="shared" si="127"/>
        <v>-0.27100000000000002</v>
      </c>
      <c r="N76" s="962">
        <f t="shared" si="127"/>
        <v>-0.27499999999999991</v>
      </c>
      <c r="O76" s="962">
        <f t="shared" si="127"/>
        <v>-0.28000000000000003</v>
      </c>
      <c r="P76" s="961">
        <f t="shared" si="127"/>
        <v>398.90699999999998</v>
      </c>
      <c r="Q76" s="962">
        <f t="shared" si="127"/>
        <v>1499.749</v>
      </c>
      <c r="R76" s="962">
        <f t="shared" si="127"/>
        <v>-0.28700000000000003</v>
      </c>
      <c r="S76" s="962">
        <f t="shared" si="127"/>
        <v>-6.0999999999999943E-2</v>
      </c>
      <c r="T76" s="962">
        <f t="shared" si="127"/>
        <v>5.3999999999999937E-2</v>
      </c>
      <c r="U76" s="961">
        <f t="shared" si="127"/>
        <v>1499.4549999999999</v>
      </c>
      <c r="V76" s="962">
        <f t="shared" si="127"/>
        <v>0</v>
      </c>
      <c r="W76" s="962">
        <f t="shared" si="127"/>
        <v>0</v>
      </c>
      <c r="X76" s="962">
        <f t="shared" si="127"/>
        <v>0</v>
      </c>
      <c r="Y76" s="962">
        <f t="shared" si="127"/>
        <v>1000</v>
      </c>
      <c r="Z76" s="961">
        <f t="shared" si="127"/>
        <v>1000</v>
      </c>
      <c r="AA76" s="962">
        <f t="shared" si="127"/>
        <v>0</v>
      </c>
      <c r="AB76" s="962">
        <f t="shared" si="127"/>
        <v>1405.4970000000001</v>
      </c>
      <c r="AC76" s="962">
        <f t="shared" si="127"/>
        <v>15.013</v>
      </c>
      <c r="AD76" s="962">
        <f t="shared" si="127"/>
        <v>1600.0000000000002</v>
      </c>
      <c r="AE76" s="961">
        <f t="shared" si="127"/>
        <v>3020.51</v>
      </c>
      <c r="AF76" s="962">
        <f t="shared" si="127"/>
        <v>0</v>
      </c>
      <c r="AG76" s="962">
        <f t="shared" si="127"/>
        <v>1883.008</v>
      </c>
      <c r="AH76" s="962">
        <f t="shared" si="127"/>
        <v>0</v>
      </c>
      <c r="AI76" s="962">
        <f t="shared" ref="AI76:AY76" si="128">INDEX(MO_CFSum_NetDebtIssuance,0,COLUMN())</f>
        <v>2042.973</v>
      </c>
      <c r="AJ76" s="961">
        <f t="shared" si="128"/>
        <v>3925.9809999999998</v>
      </c>
      <c r="AK76" s="962">
        <f t="shared" si="128"/>
        <v>0</v>
      </c>
      <c r="AL76" s="962">
        <f t="shared" si="128"/>
        <v>2225.0039999999999</v>
      </c>
      <c r="AM76" s="962">
        <f t="shared" si="128"/>
        <v>0</v>
      </c>
      <c r="AN76" s="962">
        <f t="shared" si="128"/>
        <v>2208.1679999999997</v>
      </c>
      <c r="AO76" s="961">
        <f t="shared" si="128"/>
        <v>4433.1719999999996</v>
      </c>
      <c r="AP76" s="962">
        <f t="shared" si="128"/>
        <v>0</v>
      </c>
      <c r="AQ76" s="962">
        <f t="shared" si="128"/>
        <v>1001.9050000000001</v>
      </c>
      <c r="AR76" s="962">
        <f>INDEX(MO_CFSum_NetDebtIssuance,0,COLUMN())</f>
        <v>0</v>
      </c>
      <c r="AS76" s="962">
        <f>INDEX(MO_CFSum_NetDebtIssuance,0,COLUMN())</f>
        <v>0</v>
      </c>
      <c r="AT76" s="961">
        <f>INDEX(MO_CFSum_NetDebtIssuance,0,COLUMN())</f>
        <v>1001.9050000000001</v>
      </c>
      <c r="AU76" s="962">
        <f t="shared" si="128"/>
        <v>-500</v>
      </c>
      <c r="AV76" s="962">
        <f>INDEX(MO_CFSum_NetDebtIssuance,0,COLUMN())</f>
        <v>0</v>
      </c>
      <c r="AW76" s="963">
        <f>INDEX(MO_CFSum_NetDebtIssuance,0,COLUMN())</f>
        <v>0</v>
      </c>
      <c r="AX76" s="962">
        <f t="shared" si="128"/>
        <v>0</v>
      </c>
      <c r="AY76" s="961">
        <f t="shared" si="128"/>
        <v>-500</v>
      </c>
      <c r="AZ76" s="962">
        <f t="shared" ref="AZ76:BG76" si="129">INDEX(MO_CFSum_NetDebtIssuance,0,COLUMN())</f>
        <v>0</v>
      </c>
      <c r="BA76" s="962">
        <f t="shared" si="129"/>
        <v>0</v>
      </c>
      <c r="BB76" s="962">
        <f t="shared" si="129"/>
        <v>0</v>
      </c>
      <c r="BC76" s="962">
        <f t="shared" si="129"/>
        <v>0</v>
      </c>
      <c r="BD76" s="961">
        <f t="shared" si="129"/>
        <v>0</v>
      </c>
      <c r="BE76" s="961">
        <f t="shared" si="129"/>
        <v>0</v>
      </c>
      <c r="BF76" s="961">
        <f t="shared" si="129"/>
        <v>0</v>
      </c>
      <c r="BG76" s="961">
        <f t="shared" si="129"/>
        <v>0</v>
      </c>
      <c r="BH76" s="841"/>
    </row>
    <row r="77" spans="1:60" customFormat="1" x14ac:dyDescent="0.25">
      <c r="A77" s="355" t="s">
        <v>334</v>
      </c>
      <c r="B77" s="356"/>
      <c r="C77" s="953">
        <f>Model!C607+Model!C604+Model!C583+Model!C581+Model!C587+Model!C586+Model!C585</f>
        <v>-25.75</v>
      </c>
      <c r="D77" s="953">
        <f>Model!D607+Model!D604+Model!D583+Model!D581+Model!D587+Model!D586+Model!D585</f>
        <v>41.657000000000011</v>
      </c>
      <c r="E77" s="953">
        <f>Model!E607+Model!E604+Model!E583+Model!E581+Model!E587+Model!E586+Model!E585</f>
        <v>-130.97800000000001</v>
      </c>
      <c r="F77" s="953">
        <f>Model!F607+Model!F604+Model!F583+Model!F581+Model!F587+Model!F586+Model!F585</f>
        <v>-156.38400000000007</v>
      </c>
      <c r="G77" s="954">
        <f>Model!G607+Model!G604+Model!G583+Model!G581+Model!G587+Model!G586+Model!G585</f>
        <v>-148.261</v>
      </c>
      <c r="H77" s="954">
        <f>Model!H607+Model!H604+Model!H583+Model!H581+Model!H587+Model!H586+Model!H585</f>
        <v>-108.16400000000002</v>
      </c>
      <c r="I77" s="954">
        <f>Model!I607+Model!I604+Model!I583+Model!I581+Model!I587+Model!I586+Model!I585</f>
        <v>14.189000000000021</v>
      </c>
      <c r="J77" s="954">
        <f>Model!J607+Model!J604+Model!J583+Model!J581+Model!J587+Model!J586+Model!J585</f>
        <v>102.88499999999999</v>
      </c>
      <c r="K77" s="953">
        <f>Model!K607+Model!K604+Model!K583+Model!K581+Model!K587+Model!K586+Model!K585</f>
        <v>-139.351</v>
      </c>
      <c r="L77" s="954">
        <f>Model!L607+Model!L604+Model!L583+Model!L581+Model!L587+Model!L586+Model!L585</f>
        <v>86.188000000000017</v>
      </c>
      <c r="M77" s="954">
        <f>Model!M607+Model!M604+Model!M583+Model!M581+Model!M587+Model!M586+Model!M585</f>
        <v>13.146999999999991</v>
      </c>
      <c r="N77" s="954">
        <f>Model!N607+Model!N604+Model!N583+Model!N581+Model!N587+Model!N586+Model!N585</f>
        <v>12.31200000000004</v>
      </c>
      <c r="O77" s="954">
        <f>Model!O607+Model!O604+Model!O583+Model!O581+Model!O587+Model!O586+Model!O585</f>
        <v>-16.683000000000057</v>
      </c>
      <c r="P77" s="953">
        <f>Model!P607+Model!P604+Model!P583+Model!P581+Model!P587+Model!P586+Model!P585</f>
        <v>94.963999999999999</v>
      </c>
      <c r="Q77" s="954">
        <f>Model!Q607+Model!Q604+Model!Q583+Model!Q581+Model!Q587+Model!Q586+Model!Q585</f>
        <v>-17.941000000000003</v>
      </c>
      <c r="R77" s="954">
        <f>Model!R607+Model!R604+Model!R583+Model!R581+Model!R587+Model!R586+Model!R585</f>
        <v>5.2149999999999892</v>
      </c>
      <c r="S77" s="954">
        <f>Model!S607+Model!S604+Model!S583+Model!S581+Model!S587+Model!S586+Model!S585</f>
        <v>-2.9329999999999714</v>
      </c>
      <c r="T77" s="954">
        <f>Model!T607+Model!T604+Model!T583+Model!T581+Model!T587+Model!T586+Model!T585</f>
        <v>-10.251000000000033</v>
      </c>
      <c r="U77" s="953">
        <f>Model!U607+Model!U604+Model!U583+Model!U581+Model!U587+Model!U586+Model!U585</f>
        <v>-25.910000000000025</v>
      </c>
      <c r="V77" s="954">
        <f>Model!V607+Model!V604+Model!V583+Model!V581+Model!V587+Model!V586+Model!V585</f>
        <v>41.283999999999992</v>
      </c>
      <c r="W77" s="954">
        <f>Model!W607+Model!W604+Model!W583+Model!W581+Model!W587+Model!W586+Model!W585</f>
        <v>23.157000000000011</v>
      </c>
      <c r="X77" s="954">
        <f>Model!X607+Model!X604+Model!X583+Model!X581+Model!X587+Model!X586+Model!X585</f>
        <v>68.208000000000027</v>
      </c>
      <c r="Y77" s="954">
        <f>Model!Y607+Model!Y604+Model!Y583+Model!Y581+Model!Y587+Model!Y586+Model!Y585</f>
        <v>93.010999999999967</v>
      </c>
      <c r="Z77" s="953">
        <f>Model!Z607+Model!Z604+Model!Z583+Model!Z581+Model!Z587+Model!Z586+Model!Z585</f>
        <v>225.65999999999994</v>
      </c>
      <c r="AA77" s="954">
        <f>Model!AA607+Model!AA604+Model!AA583+Model!AA581+Model!AA587+Model!AA586+Model!AA585</f>
        <v>7.820999999999998</v>
      </c>
      <c r="AB77" s="954">
        <f>Model!AB607+Model!AB604+Model!AB583+Model!AB581+Model!AB587+Model!AB586+Model!AB585</f>
        <v>28.013000000000005</v>
      </c>
      <c r="AC77" s="954">
        <f>Model!AC607+Model!AC604+Model!AC583+Model!AC581+Model!AC587+Model!AC586+Model!AC585</f>
        <v>257.12199999999996</v>
      </c>
      <c r="AD77" s="954">
        <f>Model!AD607+Model!AD604+Model!AD583+Model!AD581+Model!AD587+Model!AD586+Model!AD585</f>
        <v>-1.5020000000000029</v>
      </c>
      <c r="AE77" s="953">
        <f>Model!AE607+Model!AE604+Model!AE583+Model!AE581+Model!AE587+Model!AE586+Model!AE585</f>
        <v>291.45400000000001</v>
      </c>
      <c r="AF77" s="954">
        <f>Model!AF607+Model!AF604+Model!AF583+Model!AF581+Model!AF587+Model!AF586+Model!AF585</f>
        <v>5.07</v>
      </c>
      <c r="AG77" s="954">
        <f>Model!AG607+Model!AG604+Model!AG583+Model!AG581+Model!AG587+Model!AG586+Model!AG585</f>
        <v>-37.313000000000002</v>
      </c>
      <c r="AH77" s="954">
        <f>Model!AH607+Model!AH604+Model!AH583+Model!AH581+Model!AH587+Model!AH586+Model!AH585</f>
        <v>-127.73599999999999</v>
      </c>
      <c r="AI77" s="954">
        <f>Model!AI607+Model!AI604+Model!AI583+Model!AI581+Model!AI587+Model!AI586+Model!AI585</f>
        <v>-8.2469999999999963</v>
      </c>
      <c r="AJ77" s="953">
        <f>Model!AJ607+Model!AJ604+Model!AJ583+Model!AJ581+Model!AJ587+Model!AJ586+Model!AJ585</f>
        <v>-168.226</v>
      </c>
      <c r="AK77" s="954">
        <f>Model!AK607+Model!AK604+Model!AK583+Model!AK581+Model!AK587+Model!AK586+Model!AK585</f>
        <v>-15.565999999999999</v>
      </c>
      <c r="AL77" s="954">
        <f>Model!AL607+Model!AL604+Model!AL583+Model!AL581+Model!AL587+Model!AL586+Model!AL585</f>
        <v>2.3440000000000003</v>
      </c>
      <c r="AM77" s="954">
        <f>Model!AM607+Model!AM604+Model!AM583+Model!AM581+Model!AM587+Model!AM586+Model!AM585</f>
        <v>-28.712000000000003</v>
      </c>
      <c r="AN77" s="954">
        <f>Model!AN607+Model!AN604+Model!AN583+Model!AN581+Model!AN587+Model!AN586+Model!AN585</f>
        <v>-91.625999999999991</v>
      </c>
      <c r="AO77" s="953">
        <f>Model!AO607+Model!AO604+Model!AO583+Model!AO581+Model!AO587+Model!AO586+Model!AO585</f>
        <v>-133.56</v>
      </c>
      <c r="AP77" s="954">
        <f>Model!AP607+Model!AP604+Model!AP583+Model!AP581+Model!AP587+Model!AP586+Model!AP585</f>
        <v>-71.19</v>
      </c>
      <c r="AQ77" s="954">
        <f>Model!AQ607+Model!AQ604+Model!AQ583+Model!AQ581+Model!AQ587+Model!AQ586+Model!AQ585</f>
        <v>11.559000000000003</v>
      </c>
      <c r="AR77" s="954">
        <f>Model!AR607+Model!AR604+Model!AR583+Model!AR581+Model!AR587+Model!AR586+Model!AR585</f>
        <v>19.619</v>
      </c>
      <c r="AS77" s="954">
        <f>Model!AS607+Model!AS604+Model!AS583+Model!AS581+Model!AS587+Model!AS586+Model!AS585</f>
        <v>68.630999999999986</v>
      </c>
      <c r="AT77" s="953">
        <f>Model!AT607+Model!AT604+Model!AT583+Model!AT581+Model!AT587+Model!AT586+Model!AT585</f>
        <v>28.618999999999996</v>
      </c>
      <c r="AU77" s="954">
        <f>Model!AU607+Model!AU604+Model!AU583+Model!AU581+Model!AU587+Model!AU586+Model!AU585</f>
        <v>-46.753</v>
      </c>
      <c r="AV77" s="954">
        <f>Model!AV607+Model!AV604+Model!AV583+Model!AV581+Model!AV587+Model!AV586+Model!AV585</f>
        <v>22.476999999999997</v>
      </c>
      <c r="AW77" s="955">
        <f>Model!AW607+Model!AW604+Model!AW583+Model!AW581+Model!AW587+Model!AW586+Model!AW585</f>
        <v>-85.147000000000006</v>
      </c>
      <c r="AX77" s="954">
        <f>Model!AX607+Model!AX604+Model!AX583+Model!AX581+Model!AX587+Model!AX586+Model!AX585</f>
        <v>0</v>
      </c>
      <c r="AY77" s="953">
        <f>Model!AY607+Model!AY604+Model!AY583+Model!AY581+Model!AY587+Model!AY586+Model!AY585</f>
        <v>-109.423</v>
      </c>
      <c r="AZ77" s="954">
        <f>Model!AZ607+Model!AZ604+Model!AZ583+Model!AZ581+Model!AZ587+Model!AZ586+Model!AZ585</f>
        <v>0</v>
      </c>
      <c r="BA77" s="954">
        <f>Model!BA607+Model!BA604+Model!BA583+Model!BA581+Model!BA587+Model!BA586+Model!BA585</f>
        <v>0</v>
      </c>
      <c r="BB77" s="954">
        <f>Model!BB607+Model!BB604+Model!BB583+Model!BB581+Model!BB587+Model!BB586+Model!BB585</f>
        <v>0</v>
      </c>
      <c r="BC77" s="954">
        <f>Model!BC607+Model!BC604+Model!BC583+Model!BC581+Model!BC587+Model!BC586+Model!BC585</f>
        <v>0</v>
      </c>
      <c r="BD77" s="953">
        <f>Model!BD607+Model!BD604+Model!BD583+Model!BD581+Model!BD587+Model!BD586+Model!BD585</f>
        <v>0</v>
      </c>
      <c r="BE77" s="953">
        <f>Model!BE607+Model!BE604+Model!BE583+Model!BE581+Model!BE587+Model!BE586+Model!BE585</f>
        <v>0</v>
      </c>
      <c r="BF77" s="953">
        <f>Model!BF607+Model!BF604+Model!BF583+Model!BF581+Model!BF587+Model!BF586+Model!BF585</f>
        <v>0</v>
      </c>
      <c r="BG77" s="953">
        <f>Model!BG607+Model!BG604+Model!BG583+Model!BG581+Model!BG587+Model!BG586+Model!BG585</f>
        <v>0</v>
      </c>
      <c r="BH77" s="841"/>
    </row>
    <row r="78" spans="1:60" customFormat="1" x14ac:dyDescent="0.25">
      <c r="A78" s="252" t="s">
        <v>344</v>
      </c>
      <c r="B78" s="253"/>
      <c r="C78" s="964">
        <f t="shared" ref="C78:AH78" ca="1" si="130">SUM(C71:C77)</f>
        <v>-5.6570000000000391</v>
      </c>
      <c r="D78" s="964">
        <f t="shared" ca="1" si="130"/>
        <v>60.275000000000034</v>
      </c>
      <c r="E78" s="964">
        <f t="shared" ca="1" si="130"/>
        <v>313.55400000000009</v>
      </c>
      <c r="F78" s="964">
        <f t="shared" ca="1" si="130"/>
        <v>-217.76199999999989</v>
      </c>
      <c r="G78" s="965">
        <f t="shared" ca="1" si="130"/>
        <v>127.76000000000002</v>
      </c>
      <c r="H78" s="965">
        <f t="shared" ca="1" si="130"/>
        <v>-47.372999999999969</v>
      </c>
      <c r="I78" s="965">
        <f t="shared" ca="1" si="130"/>
        <v>68.378000000000185</v>
      </c>
      <c r="J78" s="965">
        <f t="shared" ca="1" si="130"/>
        <v>165.90900000000016</v>
      </c>
      <c r="K78" s="964">
        <f t="shared" ca="1" si="130"/>
        <v>314.67400000000009</v>
      </c>
      <c r="L78" s="965">
        <f t="shared" ca="1" si="130"/>
        <v>552.48500000000001</v>
      </c>
      <c r="M78" s="965">
        <f t="shared" ca="1" si="130"/>
        <v>56.793999999999997</v>
      </c>
      <c r="N78" s="965">
        <f t="shared" ca="1" si="130"/>
        <v>-31.027000000000065</v>
      </c>
      <c r="O78" s="965">
        <f t="shared" ca="1" si="130"/>
        <v>-69.608999999999753</v>
      </c>
      <c r="P78" s="964">
        <f t="shared" ca="1" si="130"/>
        <v>508.64300000000009</v>
      </c>
      <c r="Q78" s="965">
        <f t="shared" ca="1" si="130"/>
        <v>1341.1690000000001</v>
      </c>
      <c r="R78" s="965">
        <f t="shared" ca="1" si="130"/>
        <v>-160.90499999999997</v>
      </c>
      <c r="S78" s="965">
        <f t="shared" ca="1" si="130"/>
        <v>-178.435</v>
      </c>
      <c r="T78" s="965">
        <f t="shared" ca="1" si="130"/>
        <v>-306.10700000000003</v>
      </c>
      <c r="U78" s="964">
        <f t="shared" ca="1" si="130"/>
        <v>695.72200000000021</v>
      </c>
      <c r="V78" s="965">
        <f t="shared" ca="1" si="130"/>
        <v>-204.08600000000038</v>
      </c>
      <c r="W78" s="965">
        <f t="shared" ca="1" si="130"/>
        <v>-214.31899999999925</v>
      </c>
      <c r="X78" s="965">
        <f t="shared" ca="1" si="130"/>
        <v>-421.76700000000045</v>
      </c>
      <c r="Y78" s="965">
        <f t="shared" ca="1" si="130"/>
        <v>498.41799999999944</v>
      </c>
      <c r="Z78" s="964">
        <f t="shared" ca="1" si="130"/>
        <v>-341.7540000000007</v>
      </c>
      <c r="AA78" s="965">
        <f t="shared" ca="1" si="130"/>
        <v>-389.75199999999995</v>
      </c>
      <c r="AB78" s="965">
        <f t="shared" ca="1" si="130"/>
        <v>840.95299999999941</v>
      </c>
      <c r="AC78" s="965">
        <f t="shared" ca="1" si="130"/>
        <v>-172.30799999999977</v>
      </c>
      <c r="AD78" s="965">
        <f t="shared" ca="1" si="130"/>
        <v>1076.3259999999996</v>
      </c>
      <c r="AE78" s="964">
        <f t="shared" ca="1" si="130"/>
        <v>1355.2189999999989</v>
      </c>
      <c r="AF78" s="965">
        <f t="shared" ca="1" si="130"/>
        <v>-223.31799999999927</v>
      </c>
      <c r="AG78" s="965">
        <f t="shared" ca="1" si="130"/>
        <v>1314.5169999999998</v>
      </c>
      <c r="AH78" s="965">
        <f t="shared" ca="1" si="130"/>
        <v>-835.42999999999972</v>
      </c>
      <c r="AI78" s="965">
        <f t="shared" ref="AI78:AX78" ca="1" si="131">SUM(AI71:AI77)</f>
        <v>733.47699999999998</v>
      </c>
      <c r="AJ78" s="964">
        <f t="shared" ca="1" si="131"/>
        <v>989.24599999999884</v>
      </c>
      <c r="AK78" s="965">
        <f t="shared" ca="1" si="131"/>
        <v>-441.94399999999962</v>
      </c>
      <c r="AL78" s="965">
        <f t="shared" ca="1" si="131"/>
        <v>1658.1079999999993</v>
      </c>
      <c r="AM78" s="965">
        <f t="shared" ca="1" si="131"/>
        <v>-568.48399999999879</v>
      </c>
      <c r="AN78" s="965">
        <f t="shared" ca="1" si="131"/>
        <v>584.06499999999755</v>
      </c>
      <c r="AO78" s="964">
        <f t="shared" ca="1" si="131"/>
        <v>1231.7449999999967</v>
      </c>
      <c r="AP78" s="965">
        <f t="shared" ca="1" si="131"/>
        <v>134.40100000000035</v>
      </c>
      <c r="AQ78" s="965">
        <f t="shared" ca="1" si="131"/>
        <v>2001.8589999999999</v>
      </c>
      <c r="AR78" s="965">
        <f t="shared" ref="AR78:AV78" ca="1" si="132">SUM(AR71:AR77)</f>
        <v>1242.2340000000006</v>
      </c>
      <c r="AS78" s="965">
        <f t="shared" ca="1" si="132"/>
        <v>-183.41000000000065</v>
      </c>
      <c r="AT78" s="964">
        <f t="shared" ca="1" si="132"/>
        <v>3195.0840000000003</v>
      </c>
      <c r="AU78" s="965">
        <f t="shared" ca="1" si="132"/>
        <v>197.58299999999991</v>
      </c>
      <c r="AV78" s="965">
        <f t="shared" ca="1" si="132"/>
        <v>-631.83500000000038</v>
      </c>
      <c r="AW78" s="966">
        <f ca="1">SUM(AW71:AW77)</f>
        <v>-251.65000000000083</v>
      </c>
      <c r="AX78" s="965">
        <f t="shared" ca="1" si="131"/>
        <v>391.43299030926852</v>
      </c>
      <c r="AY78" s="964">
        <f ca="1">SUM(AY71:AY77)</f>
        <v>-294.4690096907334</v>
      </c>
      <c r="AZ78" s="965">
        <f t="shared" ref="AZ78:BG78" ca="1" si="133">SUM(AZ71:AZ77)</f>
        <v>927.35473652639905</v>
      </c>
      <c r="BA78" s="965">
        <f t="shared" ca="1" si="133"/>
        <v>864.6644368173985</v>
      </c>
      <c r="BB78" s="965">
        <f t="shared" ca="1" si="133"/>
        <v>1456.1405073675305</v>
      </c>
      <c r="BC78" s="965">
        <f t="shared" ca="1" si="133"/>
        <v>999.09434386968394</v>
      </c>
      <c r="BD78" s="964">
        <f t="shared" ca="1" si="133"/>
        <v>4247.2540245810123</v>
      </c>
      <c r="BE78" s="964">
        <f t="shared" ca="1" si="133"/>
        <v>6694.6742958968835</v>
      </c>
      <c r="BF78" s="964">
        <f t="shared" ca="1" si="133"/>
        <v>9738.8571866480524</v>
      </c>
      <c r="BG78" s="964">
        <f t="shared" ca="1" si="133"/>
        <v>13142.476960272405</v>
      </c>
      <c r="BH78" s="839"/>
    </row>
    <row r="79" spans="1:60" customFormat="1" x14ac:dyDescent="0.25">
      <c r="A79" s="249"/>
      <c r="B79" s="254"/>
      <c r="C79" s="956"/>
      <c r="D79" s="956"/>
      <c r="E79" s="956"/>
      <c r="F79" s="956"/>
      <c r="G79" s="957"/>
      <c r="H79" s="957"/>
      <c r="I79" s="957"/>
      <c r="J79" s="957"/>
      <c r="K79" s="956"/>
      <c r="L79" s="957"/>
      <c r="M79" s="957"/>
      <c r="N79" s="957"/>
      <c r="O79" s="957"/>
      <c r="P79" s="956"/>
      <c r="Q79" s="957"/>
      <c r="R79" s="957"/>
      <c r="S79" s="957"/>
      <c r="T79" s="957"/>
      <c r="U79" s="956"/>
      <c r="V79" s="957"/>
      <c r="W79" s="957"/>
      <c r="X79" s="957"/>
      <c r="Y79" s="957"/>
      <c r="Z79" s="956"/>
      <c r="AA79" s="957"/>
      <c r="AB79" s="957"/>
      <c r="AC79" s="957"/>
      <c r="AD79" s="957"/>
      <c r="AE79" s="956"/>
      <c r="AF79" s="957"/>
      <c r="AG79" s="957"/>
      <c r="AH79" s="957"/>
      <c r="AI79" s="957"/>
      <c r="AJ79" s="956"/>
      <c r="AK79" s="957"/>
      <c r="AL79" s="957"/>
      <c r="AM79" s="957"/>
      <c r="AN79" s="957"/>
      <c r="AO79" s="956"/>
      <c r="AP79" s="957"/>
      <c r="AQ79" s="957"/>
      <c r="AR79" s="957"/>
      <c r="AS79" s="957"/>
      <c r="AT79" s="956"/>
      <c r="AU79" s="957"/>
      <c r="AV79" s="957"/>
      <c r="AW79" s="958"/>
      <c r="AX79" s="957"/>
      <c r="AY79" s="956"/>
      <c r="AZ79" s="957"/>
      <c r="BA79" s="957"/>
      <c r="BB79" s="957"/>
      <c r="BC79" s="957"/>
      <c r="BD79" s="956"/>
      <c r="BE79" s="956"/>
      <c r="BF79" s="956"/>
      <c r="BG79" s="956"/>
      <c r="BH79" s="839"/>
    </row>
    <row r="80" spans="1:60" customFormat="1" x14ac:dyDescent="0.25">
      <c r="A80" s="256" t="s">
        <v>345</v>
      </c>
      <c r="B80" s="257"/>
      <c r="C80" s="119">
        <f t="shared" ref="C80:AH80" si="134">INDEX(SP_CFA_CFO_BeforeWC,0,COLUMN())/INDEX(SP_CS_ShareCount,0,COLUMN())</f>
        <v>0.73972395038541294</v>
      </c>
      <c r="D80" s="119">
        <f t="shared" si="134"/>
        <v>0.57154695260543831</v>
      </c>
      <c r="E80" s="119">
        <f t="shared" si="134"/>
        <v>0.53107732084722703</v>
      </c>
      <c r="F80" s="119">
        <f t="shared" si="134"/>
        <v>-7.8578219281732094E-3</v>
      </c>
      <c r="G80" s="120">
        <f t="shared" si="134"/>
        <v>-8.8503688643348857E-2</v>
      </c>
      <c r="H80" s="120">
        <f t="shared" si="134"/>
        <v>-4.7105840190507522E-2</v>
      </c>
      <c r="I80" s="120">
        <f t="shared" si="134"/>
        <v>0.10223221605415449</v>
      </c>
      <c r="J80" s="120">
        <f t="shared" si="134"/>
        <v>-1.967012173523941E-2</v>
      </c>
      <c r="K80" s="119">
        <f t="shared" si="134"/>
        <v>-5.1809548888266999E-2</v>
      </c>
      <c r="L80" s="120">
        <f t="shared" si="134"/>
        <v>-9.8914668226424807E-2</v>
      </c>
      <c r="M80" s="120">
        <f t="shared" si="134"/>
        <v>1.4692623093308295E-2</v>
      </c>
      <c r="N80" s="120">
        <f t="shared" si="134"/>
        <v>-0.16954906156555205</v>
      </c>
      <c r="O80" s="120">
        <f t="shared" si="134"/>
        <v>-2.5367964967607241E-2</v>
      </c>
      <c r="P80" s="119">
        <f t="shared" si="134"/>
        <v>-0.27928149036569128</v>
      </c>
      <c r="Q80" s="120">
        <f t="shared" si="134"/>
        <v>-0.48023217484111735</v>
      </c>
      <c r="R80" s="120">
        <f t="shared" si="134"/>
        <v>-0.47141117687120065</v>
      </c>
      <c r="S80" s="120">
        <f t="shared" si="134"/>
        <v>-0.66779477429468515</v>
      </c>
      <c r="T80" s="120">
        <f t="shared" si="134"/>
        <v>-0.49328133948801722</v>
      </c>
      <c r="U80" s="119">
        <f t="shared" si="134"/>
        <v>-2.1132164525175501</v>
      </c>
      <c r="V80" s="120">
        <f t="shared" si="134"/>
        <v>-0.59863513800448953</v>
      </c>
      <c r="W80" s="120">
        <f t="shared" si="134"/>
        <v>-0.64139092647790341</v>
      </c>
      <c r="X80" s="120">
        <f t="shared" si="134"/>
        <v>-1.2503119375714273</v>
      </c>
      <c r="Y80" s="120">
        <f t="shared" si="134"/>
        <v>-1.306665182030756</v>
      </c>
      <c r="Z80" s="119">
        <f t="shared" si="134"/>
        <v>-3.7988291401840204</v>
      </c>
      <c r="AA80" s="120">
        <f t="shared" si="134"/>
        <v>-0.95422464070686785</v>
      </c>
      <c r="AB80" s="120">
        <f t="shared" si="134"/>
        <v>-0.89411601256661033</v>
      </c>
      <c r="AC80" s="120">
        <f t="shared" si="134"/>
        <v>-1.1436845328838829</v>
      </c>
      <c r="AD80" s="120">
        <f t="shared" si="134"/>
        <v>-1.1362626131895708</v>
      </c>
      <c r="AE80" s="119">
        <f t="shared" si="134"/>
        <v>-4.1290671286038512</v>
      </c>
      <c r="AF80" s="120">
        <f t="shared" si="134"/>
        <v>-0.98384622045967618</v>
      </c>
      <c r="AG80" s="120">
        <f t="shared" si="134"/>
        <v>-1.133838406207923</v>
      </c>
      <c r="AH80" s="120">
        <f t="shared" si="134"/>
        <v>-1.7325494170415492</v>
      </c>
      <c r="AI80" s="120">
        <f t="shared" ref="AI80:AY80" si="135">INDEX(SP_CFA_CFO_BeforeWC,0,COLUMN())/INDEX(SP_CS_ShareCount,0,COLUMN())</f>
        <v>-2.7403217797639638</v>
      </c>
      <c r="AJ80" s="119">
        <f t="shared" si="135"/>
        <v>-6.5912145092233922</v>
      </c>
      <c r="AK80" s="120">
        <f t="shared" si="135"/>
        <v>-0.9386796836622241</v>
      </c>
      <c r="AL80" s="120">
        <f t="shared" si="135"/>
        <v>-1.2121098198785938</v>
      </c>
      <c r="AM80" s="120">
        <f t="shared" si="135"/>
        <v>-1.6232327616752862</v>
      </c>
      <c r="AN80" s="120">
        <f t="shared" si="135"/>
        <v>-2.7141350608263388</v>
      </c>
      <c r="AO80" s="119">
        <f t="shared" si="135"/>
        <v>-6.4864808030724008</v>
      </c>
      <c r="AP80" s="120">
        <f t="shared" si="135"/>
        <v>0.66667182327279539</v>
      </c>
      <c r="AQ80" s="120">
        <f t="shared" si="135"/>
        <v>2.757563140909141</v>
      </c>
      <c r="AR80" s="120">
        <f>INDEX(SP_CFA_CFO_BeforeWC,0,COLUMN())/INDEX(SP_CS_ShareCount,0,COLUMN())</f>
        <v>2.0173878458671748</v>
      </c>
      <c r="AS80" s="120">
        <f>INDEX(SP_CFA_CFO_BeforeWC,0,COLUMN())/INDEX(SP_CS_ShareCount,0,COLUMN())</f>
        <v>-2.7644344286961567E-2</v>
      </c>
      <c r="AT80" s="119">
        <f>INDEX(SP_CFA_CFO_BeforeWC,0,COLUMN())/INDEX(SP_CS_ShareCount,0,COLUMN())</f>
        <v>5.4137091376638011</v>
      </c>
      <c r="AU80" s="120">
        <f t="shared" si="135"/>
        <v>2.1888416538459001</v>
      </c>
      <c r="AV80" s="120">
        <f>INDEX(SP_CFA_CFO_BeforeWC,0,COLUMN())/INDEX(SP_CS_ShareCount,0,COLUMN())</f>
        <v>0.24867455161064161</v>
      </c>
      <c r="AW80" s="618">
        <f>INDEX(SP_CFA_CFO_BeforeWC,0,COLUMN())/INDEX(SP_CS_ShareCount,0,COLUMN())</f>
        <v>-0.22276199373523284</v>
      </c>
      <c r="AX80" s="120">
        <f t="shared" ca="1" si="135"/>
        <v>0.59693432089326615</v>
      </c>
      <c r="AY80" s="119">
        <f t="shared" ca="1" si="135"/>
        <v>2.8138224251790427</v>
      </c>
      <c r="AZ80" s="120">
        <f t="shared" ref="AZ80:BG80" ca="1" si="136">INDEX(SP_CFA_CFO_BeforeWC,0,COLUMN())/INDEX(SP_CS_ShareCount,0,COLUMN())</f>
        <v>2.4985184111039986</v>
      </c>
      <c r="BA80" s="120">
        <f t="shared" ca="1" si="136"/>
        <v>2.5500410714426591</v>
      </c>
      <c r="BB80" s="120">
        <f t="shared" ca="1" si="136"/>
        <v>2.8420024375492985</v>
      </c>
      <c r="BC80" s="120">
        <f t="shared" ca="1" si="136"/>
        <v>1.8954130870608794</v>
      </c>
      <c r="BD80" s="119">
        <f t="shared" ca="1" si="136"/>
        <v>9.7859750071568357</v>
      </c>
      <c r="BE80" s="119">
        <f t="shared" ca="1" si="136"/>
        <v>15.095865310233675</v>
      </c>
      <c r="BF80" s="119">
        <f t="shared" ca="1" si="136"/>
        <v>21.680766359717577</v>
      </c>
      <c r="BG80" s="119">
        <f t="shared" ca="1" si="136"/>
        <v>29.065595728895772</v>
      </c>
      <c r="BH80" s="120"/>
    </row>
    <row r="81" spans="1:60" customFormat="1" x14ac:dyDescent="0.25">
      <c r="A81" s="256" t="s">
        <v>346</v>
      </c>
      <c r="B81" s="257"/>
      <c r="C81" s="119">
        <f t="shared" ref="C81:AH81" si="137">INDEX(SP_CFA_FCF_PreDiv,0,COLUMN())/INDEX(SP_CS_ShareCount,0,COLUMN())</f>
        <v>0.15530480885862966</v>
      </c>
      <c r="D81" s="119">
        <f t="shared" si="137"/>
        <v>0.15658672868086546</v>
      </c>
      <c r="E81" s="119">
        <f t="shared" si="137"/>
        <v>0.17678929431950496</v>
      </c>
      <c r="F81" s="119">
        <f t="shared" si="137"/>
        <v>-0.22262131118914991</v>
      </c>
      <c r="G81" s="120">
        <f t="shared" si="137"/>
        <v>-0.16762306957831188</v>
      </c>
      <c r="H81" s="120">
        <f t="shared" si="137"/>
        <v>-9.923844104401941E-2</v>
      </c>
      <c r="I81" s="120">
        <f t="shared" si="137"/>
        <v>4.0631953716066295E-2</v>
      </c>
      <c r="J81" s="120">
        <f t="shared" si="137"/>
        <v>-0.10903506646035642</v>
      </c>
      <c r="K81" s="119">
        <f t="shared" si="137"/>
        <v>-0.33410999066600505</v>
      </c>
      <c r="L81" s="120">
        <f t="shared" si="137"/>
        <v>-0.16448021985163716</v>
      </c>
      <c r="M81" s="120">
        <f t="shared" si="137"/>
        <v>-7.9990079755980506E-2</v>
      </c>
      <c r="N81" s="120">
        <f t="shared" si="137"/>
        <v>-0.25403820290149814</v>
      </c>
      <c r="O81" s="120">
        <f t="shared" si="137"/>
        <v>-0.11520551935891021</v>
      </c>
      <c r="P81" s="119">
        <f t="shared" si="137"/>
        <v>-0.61389137149393114</v>
      </c>
      <c r="Q81" s="120">
        <f t="shared" si="137"/>
        <v>-0.56308392364416759</v>
      </c>
      <c r="R81" s="120">
        <f t="shared" si="137"/>
        <v>-0.57992831869973882</v>
      </c>
      <c r="S81" s="120">
        <f t="shared" si="137"/>
        <v>-0.78727896783864948</v>
      </c>
      <c r="T81" s="120">
        <f t="shared" si="137"/>
        <v>-0.57006961668609957</v>
      </c>
      <c r="U81" s="119">
        <f t="shared" si="137"/>
        <v>-2.5008981432263497</v>
      </c>
      <c r="V81" s="120">
        <f t="shared" si="137"/>
        <v>-0.67085547029290515</v>
      </c>
      <c r="W81" s="120">
        <f t="shared" si="137"/>
        <v>-0.7069797377177871</v>
      </c>
      <c r="X81" s="120">
        <f t="shared" si="137"/>
        <v>-1.3520822830864836</v>
      </c>
      <c r="Y81" s="120">
        <f t="shared" si="137"/>
        <v>-1.4881051122225695</v>
      </c>
      <c r="Z81" s="119">
        <f t="shared" si="137"/>
        <v>-4.2201882129797674</v>
      </c>
      <c r="AA81" s="120">
        <f t="shared" si="137"/>
        <v>-1.129089611141791</v>
      </c>
      <c r="AB81" s="120">
        <f t="shared" si="137"/>
        <v>-1.0573721266879113</v>
      </c>
      <c r="AC81" s="120">
        <f t="shared" si="137"/>
        <v>-1.242441244450802</v>
      </c>
      <c r="AD81" s="120">
        <f t="shared" si="137"/>
        <v>-1.2078738435585161</v>
      </c>
      <c r="AE81" s="119">
        <f t="shared" si="137"/>
        <v>-4.6371577434905822</v>
      </c>
      <c r="AF81" s="120">
        <f t="shared" si="137"/>
        <v>-1.0903523633368031</v>
      </c>
      <c r="AG81" s="120">
        <f t="shared" si="137"/>
        <v>-1.2221449578343138</v>
      </c>
      <c r="AH81" s="120">
        <f t="shared" si="137"/>
        <v>-1.8366919735616336</v>
      </c>
      <c r="AI81" s="120">
        <f t="shared" ref="AI81:AY81" si="138">INDEX(SP_CFA_FCF_PreDiv,0,COLUMN())/INDEX(SP_CS_ShareCount,0,COLUMN())</f>
        <v>-2.9123994715328214</v>
      </c>
      <c r="AJ81" s="119">
        <f t="shared" si="138"/>
        <v>-7.0622058132628922</v>
      </c>
      <c r="AK81" s="120">
        <f t="shared" si="138"/>
        <v>-1.0925801355101092</v>
      </c>
      <c r="AL81" s="120">
        <f t="shared" si="138"/>
        <v>-1.3168920487842648</v>
      </c>
      <c r="AM81" s="120">
        <f t="shared" si="138"/>
        <v>-1.7338888987314836</v>
      </c>
      <c r="AN81" s="120">
        <f t="shared" si="138"/>
        <v>-2.9049664685278325</v>
      </c>
      <c r="AO81" s="119">
        <f t="shared" si="138"/>
        <v>-7.0465839540469117</v>
      </c>
      <c r="AP81" s="120">
        <f t="shared" si="138"/>
        <v>0.45006121628132151</v>
      </c>
      <c r="AQ81" s="120">
        <f t="shared" si="138"/>
        <v>2.4453204683386751</v>
      </c>
      <c r="AR81" s="120">
        <f>INDEX(SP_CFA_FCF_PreDiv,0,COLUMN())/INDEX(SP_CS_ShareCount,0,COLUMN())</f>
        <v>1.7760916569982086</v>
      </c>
      <c r="AS81" s="120">
        <f>INDEX(SP_CFA_FCF_PreDiv,0,COLUMN())/INDEX(SP_CS_ShareCount,0,COLUMN())</f>
        <v>-0.35349881282630957</v>
      </c>
      <c r="AT81" s="119">
        <f>INDEX(SP_CFA_FCF_PreDiv,0,COLUMN())/INDEX(SP_CS_ShareCount,0,COLUMN())</f>
        <v>4.3174646857827241</v>
      </c>
      <c r="AU81" s="120">
        <f t="shared" si="138"/>
        <v>2.0110679240893594</v>
      </c>
      <c r="AV81" s="120">
        <f>INDEX(SP_CFA_FCF_PreDiv,0,COLUMN())/INDEX(SP_CS_ShareCount,0,COLUMN())</f>
        <v>6.37401703692739E-3</v>
      </c>
      <c r="AW81" s="618">
        <f>INDEX(SP_CFA_FCF_PreDiv,0,COLUMN())/INDEX(SP_CS_ShareCount,0,COLUMN())</f>
        <v>-0.59057427048414757</v>
      </c>
      <c r="AX81" s="120">
        <f t="shared" ca="1" si="138"/>
        <v>0.37711786763173949</v>
      </c>
      <c r="AY81" s="119">
        <f t="shared" ca="1" si="138"/>
        <v>1.8062403926846178</v>
      </c>
      <c r="AZ81" s="120">
        <f t="shared" ref="AZ81:BG81" ca="1" si="139">INDEX(SP_CFA_FCF_PreDiv,0,COLUMN())/INDEX(SP_CS_ShareCount,0,COLUMN())</f>
        <v>2.2787019578424719</v>
      </c>
      <c r="BA81" s="120">
        <f t="shared" ca="1" si="139"/>
        <v>2.3302246181811324</v>
      </c>
      <c r="BB81" s="120">
        <f t="shared" ca="1" si="139"/>
        <v>2.6221859842877717</v>
      </c>
      <c r="BC81" s="120">
        <f t="shared" ca="1" si="139"/>
        <v>1.6755966337993529</v>
      </c>
      <c r="BD81" s="119">
        <f t="shared" ca="1" si="139"/>
        <v>8.9067091941107286</v>
      </c>
      <c r="BE81" s="119">
        <f t="shared" ca="1" si="139"/>
        <v>14.21659949718757</v>
      </c>
      <c r="BF81" s="119">
        <f t="shared" ca="1" si="139"/>
        <v>20.80150054667147</v>
      </c>
      <c r="BG81" s="119">
        <f t="shared" ca="1" si="139"/>
        <v>28.186329915849665</v>
      </c>
      <c r="BH81" s="120"/>
    </row>
    <row r="82" spans="1:60" customFormat="1" x14ac:dyDescent="0.25">
      <c r="A82" s="256" t="s">
        <v>118</v>
      </c>
      <c r="B82" s="257"/>
      <c r="C82" s="119">
        <f t="shared" ref="C82:AH82" si="140">INDEX(MO_CFSum_DPS,0,COLUMN())</f>
        <v>0</v>
      </c>
      <c r="D82" s="119">
        <f t="shared" si="140"/>
        <v>0</v>
      </c>
      <c r="E82" s="119">
        <f t="shared" si="140"/>
        <v>0</v>
      </c>
      <c r="F82" s="119">
        <f t="shared" si="140"/>
        <v>0</v>
      </c>
      <c r="G82" s="120">
        <f t="shared" si="140"/>
        <v>0</v>
      </c>
      <c r="H82" s="120">
        <f t="shared" si="140"/>
        <v>0</v>
      </c>
      <c r="I82" s="120">
        <f t="shared" si="140"/>
        <v>0</v>
      </c>
      <c r="J82" s="120">
        <f t="shared" si="140"/>
        <v>0</v>
      </c>
      <c r="K82" s="119">
        <f t="shared" si="140"/>
        <v>0</v>
      </c>
      <c r="L82" s="120">
        <f t="shared" si="140"/>
        <v>0</v>
      </c>
      <c r="M82" s="120">
        <f t="shared" si="140"/>
        <v>0</v>
      </c>
      <c r="N82" s="120">
        <f t="shared" si="140"/>
        <v>0</v>
      </c>
      <c r="O82" s="120">
        <f t="shared" si="140"/>
        <v>0</v>
      </c>
      <c r="P82" s="119">
        <f t="shared" si="140"/>
        <v>0</v>
      </c>
      <c r="Q82" s="120">
        <f t="shared" si="140"/>
        <v>0</v>
      </c>
      <c r="R82" s="120">
        <f t="shared" si="140"/>
        <v>0</v>
      </c>
      <c r="S82" s="120">
        <f t="shared" si="140"/>
        <v>0</v>
      </c>
      <c r="T82" s="120">
        <f t="shared" si="140"/>
        <v>0</v>
      </c>
      <c r="U82" s="119">
        <f t="shared" si="140"/>
        <v>0</v>
      </c>
      <c r="V82" s="120">
        <f t="shared" si="140"/>
        <v>0</v>
      </c>
      <c r="W82" s="120">
        <f t="shared" si="140"/>
        <v>0</v>
      </c>
      <c r="X82" s="120">
        <f t="shared" si="140"/>
        <v>0</v>
      </c>
      <c r="Y82" s="120">
        <f t="shared" si="140"/>
        <v>0</v>
      </c>
      <c r="Z82" s="119">
        <f t="shared" si="140"/>
        <v>0</v>
      </c>
      <c r="AA82" s="120">
        <f t="shared" si="140"/>
        <v>0</v>
      </c>
      <c r="AB82" s="120">
        <f t="shared" si="140"/>
        <v>0</v>
      </c>
      <c r="AC82" s="120">
        <f t="shared" si="140"/>
        <v>0</v>
      </c>
      <c r="AD82" s="120">
        <f t="shared" si="140"/>
        <v>0</v>
      </c>
      <c r="AE82" s="119">
        <f t="shared" si="140"/>
        <v>0</v>
      </c>
      <c r="AF82" s="120">
        <f t="shared" si="140"/>
        <v>0</v>
      </c>
      <c r="AG82" s="120">
        <f t="shared" si="140"/>
        <v>0</v>
      </c>
      <c r="AH82" s="120">
        <f t="shared" si="140"/>
        <v>0</v>
      </c>
      <c r="AI82" s="120">
        <f t="shared" ref="AI82:AY82" si="141">INDEX(MO_CFSum_DPS,0,COLUMN())</f>
        <v>0</v>
      </c>
      <c r="AJ82" s="119">
        <f t="shared" si="141"/>
        <v>0</v>
      </c>
      <c r="AK82" s="120">
        <f t="shared" si="141"/>
        <v>0</v>
      </c>
      <c r="AL82" s="120">
        <f t="shared" si="141"/>
        <v>0</v>
      </c>
      <c r="AM82" s="120">
        <f t="shared" si="141"/>
        <v>0</v>
      </c>
      <c r="AN82" s="120">
        <f t="shared" si="141"/>
        <v>0</v>
      </c>
      <c r="AO82" s="119">
        <f t="shared" si="141"/>
        <v>0</v>
      </c>
      <c r="AP82" s="120">
        <f t="shared" si="141"/>
        <v>0</v>
      </c>
      <c r="AQ82" s="120">
        <f t="shared" si="141"/>
        <v>0</v>
      </c>
      <c r="AR82" s="120">
        <f>INDEX(MO_CFSum_DPS,0,COLUMN())</f>
        <v>0</v>
      </c>
      <c r="AS82" s="120">
        <f>INDEX(MO_CFSum_DPS,0,COLUMN())</f>
        <v>0</v>
      </c>
      <c r="AT82" s="119">
        <f>INDEX(MO_CFSum_DPS,0,COLUMN())</f>
        <v>0</v>
      </c>
      <c r="AU82" s="120">
        <f t="shared" si="141"/>
        <v>0</v>
      </c>
      <c r="AV82" s="120">
        <f>INDEX(MO_CFSum_DPS,0,COLUMN())</f>
        <v>0</v>
      </c>
      <c r="AW82" s="618">
        <f>INDEX(MO_CFSum_DPS,0,COLUMN())</f>
        <v>0</v>
      </c>
      <c r="AX82" s="120">
        <f t="shared" si="141"/>
        <v>0</v>
      </c>
      <c r="AY82" s="119">
        <f t="shared" si="141"/>
        <v>0</v>
      </c>
      <c r="AZ82" s="120">
        <f t="shared" ref="AZ82:BG82" si="142">INDEX(MO_CFSum_DPS,0,COLUMN())</f>
        <v>0</v>
      </c>
      <c r="BA82" s="120">
        <f t="shared" si="142"/>
        <v>0</v>
      </c>
      <c r="BB82" s="120">
        <f t="shared" si="142"/>
        <v>0</v>
      </c>
      <c r="BC82" s="120">
        <f t="shared" si="142"/>
        <v>0</v>
      </c>
      <c r="BD82" s="119">
        <f t="shared" si="142"/>
        <v>0</v>
      </c>
      <c r="BE82" s="119">
        <f t="shared" si="142"/>
        <v>0</v>
      </c>
      <c r="BF82" s="119">
        <f t="shared" si="142"/>
        <v>0</v>
      </c>
      <c r="BG82" s="119">
        <f t="shared" si="142"/>
        <v>0</v>
      </c>
      <c r="BH82" s="120"/>
    </row>
    <row r="83" spans="1:60" customFormat="1" x14ac:dyDescent="0.25">
      <c r="A83" s="261" t="s">
        <v>347</v>
      </c>
      <c r="B83" s="262"/>
      <c r="C83" s="129">
        <f t="shared" ref="C83:AH83" si="143">C82/C81</f>
        <v>0</v>
      </c>
      <c r="D83" s="129">
        <f t="shared" si="143"/>
        <v>0</v>
      </c>
      <c r="E83" s="129">
        <f t="shared" si="143"/>
        <v>0</v>
      </c>
      <c r="F83" s="129">
        <f t="shared" si="143"/>
        <v>0</v>
      </c>
      <c r="G83" s="130">
        <f t="shared" si="143"/>
        <v>0</v>
      </c>
      <c r="H83" s="130">
        <f t="shared" si="143"/>
        <v>0</v>
      </c>
      <c r="I83" s="130">
        <f t="shared" si="143"/>
        <v>0</v>
      </c>
      <c r="J83" s="130">
        <f t="shared" si="143"/>
        <v>0</v>
      </c>
      <c r="K83" s="129">
        <f t="shared" si="143"/>
        <v>0</v>
      </c>
      <c r="L83" s="130">
        <f t="shared" si="143"/>
        <v>0</v>
      </c>
      <c r="M83" s="130">
        <f t="shared" si="143"/>
        <v>0</v>
      </c>
      <c r="N83" s="130">
        <f t="shared" si="143"/>
        <v>0</v>
      </c>
      <c r="O83" s="130">
        <f t="shared" si="143"/>
        <v>0</v>
      </c>
      <c r="P83" s="129">
        <f t="shared" si="143"/>
        <v>0</v>
      </c>
      <c r="Q83" s="130">
        <f t="shared" si="143"/>
        <v>0</v>
      </c>
      <c r="R83" s="130">
        <f t="shared" si="143"/>
        <v>0</v>
      </c>
      <c r="S83" s="130">
        <f t="shared" si="143"/>
        <v>0</v>
      </c>
      <c r="T83" s="130">
        <f t="shared" si="143"/>
        <v>0</v>
      </c>
      <c r="U83" s="129">
        <f t="shared" si="143"/>
        <v>0</v>
      </c>
      <c r="V83" s="130">
        <f t="shared" si="143"/>
        <v>0</v>
      </c>
      <c r="W83" s="130">
        <f t="shared" si="143"/>
        <v>0</v>
      </c>
      <c r="X83" s="130">
        <f t="shared" si="143"/>
        <v>0</v>
      </c>
      <c r="Y83" s="130">
        <f t="shared" si="143"/>
        <v>0</v>
      </c>
      <c r="Z83" s="129">
        <f t="shared" si="143"/>
        <v>0</v>
      </c>
      <c r="AA83" s="130">
        <f t="shared" si="143"/>
        <v>0</v>
      </c>
      <c r="AB83" s="130">
        <f t="shared" si="143"/>
        <v>0</v>
      </c>
      <c r="AC83" s="130">
        <f t="shared" si="143"/>
        <v>0</v>
      </c>
      <c r="AD83" s="130">
        <f t="shared" si="143"/>
        <v>0</v>
      </c>
      <c r="AE83" s="129">
        <f t="shared" si="143"/>
        <v>0</v>
      </c>
      <c r="AF83" s="130">
        <f t="shared" si="143"/>
        <v>0</v>
      </c>
      <c r="AG83" s="130">
        <f t="shared" si="143"/>
        <v>0</v>
      </c>
      <c r="AH83" s="130">
        <f t="shared" si="143"/>
        <v>0</v>
      </c>
      <c r="AI83" s="130">
        <f t="shared" ref="AI83:AY83" si="144">AI82/AI81</f>
        <v>0</v>
      </c>
      <c r="AJ83" s="129">
        <f t="shared" si="144"/>
        <v>0</v>
      </c>
      <c r="AK83" s="130">
        <f t="shared" si="144"/>
        <v>0</v>
      </c>
      <c r="AL83" s="130">
        <f t="shared" si="144"/>
        <v>0</v>
      </c>
      <c r="AM83" s="130">
        <f t="shared" si="144"/>
        <v>0</v>
      </c>
      <c r="AN83" s="130">
        <f t="shared" si="144"/>
        <v>0</v>
      </c>
      <c r="AO83" s="129">
        <f t="shared" si="144"/>
        <v>0</v>
      </c>
      <c r="AP83" s="130">
        <f t="shared" si="144"/>
        <v>0</v>
      </c>
      <c r="AQ83" s="130">
        <f t="shared" si="144"/>
        <v>0</v>
      </c>
      <c r="AR83" s="130">
        <f>AR82/AR81</f>
        <v>0</v>
      </c>
      <c r="AS83" s="130">
        <f>AS82/AS81</f>
        <v>0</v>
      </c>
      <c r="AT83" s="129">
        <f>AT82/AT81</f>
        <v>0</v>
      </c>
      <c r="AU83" s="130">
        <f t="shared" ref="AU83" si="145">AU82/AU81</f>
        <v>0</v>
      </c>
      <c r="AV83" s="130">
        <f>AV82/AV81</f>
        <v>0</v>
      </c>
      <c r="AW83" s="624">
        <f>AW82/AW81</f>
        <v>0</v>
      </c>
      <c r="AX83" s="130">
        <f t="shared" ca="1" si="144"/>
        <v>0</v>
      </c>
      <c r="AY83" s="129">
        <f t="shared" ca="1" si="144"/>
        <v>0</v>
      </c>
      <c r="AZ83" s="130">
        <f t="shared" ref="AZ83:BG83" ca="1" si="146">AZ82/AZ81</f>
        <v>0</v>
      </c>
      <c r="BA83" s="130">
        <f t="shared" ca="1" si="146"/>
        <v>0</v>
      </c>
      <c r="BB83" s="130">
        <f t="shared" ca="1" si="146"/>
        <v>0</v>
      </c>
      <c r="BC83" s="130">
        <f t="shared" ca="1" si="146"/>
        <v>0</v>
      </c>
      <c r="BD83" s="129">
        <f t="shared" ca="1" si="146"/>
        <v>0</v>
      </c>
      <c r="BE83" s="129">
        <f t="shared" ca="1" si="146"/>
        <v>0</v>
      </c>
      <c r="BF83" s="129">
        <f t="shared" ca="1" si="146"/>
        <v>0</v>
      </c>
      <c r="BG83" s="129">
        <f t="shared" ca="1" si="146"/>
        <v>0</v>
      </c>
      <c r="BH83" s="373"/>
    </row>
    <row r="84" spans="1:60" customFormat="1" x14ac:dyDescent="0.25">
      <c r="A84" s="261" t="s">
        <v>348</v>
      </c>
      <c r="B84" s="262"/>
      <c r="C84" s="129">
        <f t="shared" ref="C84:AH84" si="147">C82/C54</f>
        <v>0</v>
      </c>
      <c r="D84" s="129">
        <f t="shared" si="147"/>
        <v>0</v>
      </c>
      <c r="E84" s="129">
        <f t="shared" si="147"/>
        <v>0</v>
      </c>
      <c r="F84" s="129">
        <f t="shared" si="147"/>
        <v>0</v>
      </c>
      <c r="G84" s="130">
        <f t="shared" si="147"/>
        <v>0</v>
      </c>
      <c r="H84" s="130">
        <f t="shared" si="147"/>
        <v>0</v>
      </c>
      <c r="I84" s="130">
        <f t="shared" si="147"/>
        <v>0</v>
      </c>
      <c r="J84" s="130">
        <f t="shared" si="147"/>
        <v>0</v>
      </c>
      <c r="K84" s="129">
        <f t="shared" si="147"/>
        <v>0</v>
      </c>
      <c r="L84" s="130">
        <f t="shared" si="147"/>
        <v>0</v>
      </c>
      <c r="M84" s="130">
        <f t="shared" si="147"/>
        <v>0</v>
      </c>
      <c r="N84" s="130">
        <f t="shared" si="147"/>
        <v>0</v>
      </c>
      <c r="O84" s="130">
        <f t="shared" si="147"/>
        <v>0</v>
      </c>
      <c r="P84" s="129">
        <f t="shared" si="147"/>
        <v>0</v>
      </c>
      <c r="Q84" s="130">
        <f t="shared" si="147"/>
        <v>0</v>
      </c>
      <c r="R84" s="130">
        <f t="shared" si="147"/>
        <v>0</v>
      </c>
      <c r="S84" s="130">
        <f t="shared" si="147"/>
        <v>0</v>
      </c>
      <c r="T84" s="130">
        <f t="shared" si="147"/>
        <v>0</v>
      </c>
      <c r="U84" s="129">
        <f t="shared" si="147"/>
        <v>0</v>
      </c>
      <c r="V84" s="130">
        <f t="shared" si="147"/>
        <v>0</v>
      </c>
      <c r="W84" s="130">
        <f t="shared" si="147"/>
        <v>0</v>
      </c>
      <c r="X84" s="130">
        <f t="shared" si="147"/>
        <v>0</v>
      </c>
      <c r="Y84" s="130">
        <f t="shared" si="147"/>
        <v>0</v>
      </c>
      <c r="Z84" s="129">
        <f t="shared" si="147"/>
        <v>0</v>
      </c>
      <c r="AA84" s="130">
        <f t="shared" si="147"/>
        <v>0</v>
      </c>
      <c r="AB84" s="130">
        <f t="shared" si="147"/>
        <v>0</v>
      </c>
      <c r="AC84" s="130">
        <f t="shared" si="147"/>
        <v>0</v>
      </c>
      <c r="AD84" s="130">
        <f t="shared" si="147"/>
        <v>0</v>
      </c>
      <c r="AE84" s="129">
        <f t="shared" si="147"/>
        <v>0</v>
      </c>
      <c r="AF84" s="130">
        <f t="shared" si="147"/>
        <v>0</v>
      </c>
      <c r="AG84" s="130">
        <f t="shared" si="147"/>
        <v>0</v>
      </c>
      <c r="AH84" s="130">
        <f t="shared" si="147"/>
        <v>0</v>
      </c>
      <c r="AI84" s="130">
        <f t="shared" ref="AI84:BG84" si="148">AI82/AI54</f>
        <v>0</v>
      </c>
      <c r="AJ84" s="129">
        <f t="shared" si="148"/>
        <v>0</v>
      </c>
      <c r="AK84" s="130">
        <f t="shared" si="148"/>
        <v>0</v>
      </c>
      <c r="AL84" s="130">
        <f t="shared" si="148"/>
        <v>0</v>
      </c>
      <c r="AM84" s="130">
        <f t="shared" si="148"/>
        <v>0</v>
      </c>
      <c r="AN84" s="130">
        <f t="shared" si="148"/>
        <v>0</v>
      </c>
      <c r="AO84" s="129">
        <f t="shared" si="148"/>
        <v>0</v>
      </c>
      <c r="AP84" s="130">
        <f t="shared" si="148"/>
        <v>0</v>
      </c>
      <c r="AQ84" s="130">
        <f t="shared" si="148"/>
        <v>0</v>
      </c>
      <c r="AR84" s="130">
        <f t="shared" si="148"/>
        <v>0</v>
      </c>
      <c r="AS84" s="130">
        <f t="shared" si="148"/>
        <v>0</v>
      </c>
      <c r="AT84" s="129">
        <f t="shared" si="148"/>
        <v>0</v>
      </c>
      <c r="AU84" s="130">
        <f t="shared" si="148"/>
        <v>0</v>
      </c>
      <c r="AV84" s="130">
        <f t="shared" si="148"/>
        <v>0</v>
      </c>
      <c r="AW84" s="624">
        <f t="shared" si="148"/>
        <v>0</v>
      </c>
      <c r="AX84" s="130">
        <f t="shared" ca="1" si="148"/>
        <v>0</v>
      </c>
      <c r="AY84" s="129">
        <f t="shared" ca="1" si="148"/>
        <v>0</v>
      </c>
      <c r="AZ84" s="130">
        <f t="shared" ca="1" si="148"/>
        <v>0</v>
      </c>
      <c r="BA84" s="130">
        <f t="shared" ca="1" si="148"/>
        <v>0</v>
      </c>
      <c r="BB84" s="130">
        <f t="shared" ca="1" si="148"/>
        <v>0</v>
      </c>
      <c r="BC84" s="130">
        <f t="shared" ca="1" si="148"/>
        <v>0</v>
      </c>
      <c r="BD84" s="129">
        <f t="shared" ca="1" si="148"/>
        <v>0</v>
      </c>
      <c r="BE84" s="129">
        <f t="shared" ca="1" si="148"/>
        <v>0</v>
      </c>
      <c r="BF84" s="129">
        <f t="shared" ca="1" si="148"/>
        <v>0</v>
      </c>
      <c r="BG84" s="129">
        <f t="shared" ca="1" si="148"/>
        <v>0</v>
      </c>
      <c r="BH84" s="373"/>
    </row>
    <row r="85" spans="1:60" customFormat="1" x14ac:dyDescent="0.25">
      <c r="A85" s="256"/>
      <c r="B85" s="257"/>
      <c r="C85" s="119"/>
      <c r="D85" s="119"/>
      <c r="E85" s="119"/>
      <c r="F85" s="119"/>
      <c r="G85" s="120"/>
      <c r="H85" s="120"/>
      <c r="I85" s="120"/>
      <c r="J85" s="120"/>
      <c r="K85" s="119"/>
      <c r="L85" s="120"/>
      <c r="M85" s="120"/>
      <c r="N85" s="120"/>
      <c r="O85" s="120"/>
      <c r="P85" s="119"/>
      <c r="Q85" s="120"/>
      <c r="R85" s="120"/>
      <c r="S85" s="120"/>
      <c r="T85" s="120"/>
      <c r="U85" s="119"/>
      <c r="V85" s="120"/>
      <c r="W85" s="120"/>
      <c r="X85" s="120"/>
      <c r="Y85" s="120"/>
      <c r="Z85" s="119"/>
      <c r="AA85" s="120"/>
      <c r="AB85" s="120"/>
      <c r="AC85" s="120"/>
      <c r="AD85" s="120"/>
      <c r="AE85" s="119"/>
      <c r="AF85" s="120"/>
      <c r="AG85" s="120"/>
      <c r="AH85" s="120"/>
      <c r="AI85" s="120"/>
      <c r="AJ85" s="119"/>
      <c r="AK85" s="120"/>
      <c r="AL85" s="120"/>
      <c r="AM85" s="120"/>
      <c r="AN85" s="120"/>
      <c r="AO85" s="119"/>
      <c r="AP85" s="120"/>
      <c r="AQ85" s="120"/>
      <c r="AR85" s="120"/>
      <c r="AS85" s="120"/>
      <c r="AT85" s="119"/>
      <c r="AU85" s="120"/>
      <c r="AV85" s="120"/>
      <c r="AW85" s="618"/>
      <c r="AX85" s="120"/>
      <c r="AY85" s="119"/>
      <c r="AZ85" s="120"/>
      <c r="BA85" s="120"/>
      <c r="BB85" s="120"/>
      <c r="BC85" s="120"/>
      <c r="BD85" s="119"/>
      <c r="BE85" s="119"/>
      <c r="BF85" s="119"/>
      <c r="BG85" s="119"/>
      <c r="BH85" s="120"/>
    </row>
    <row r="86" spans="1:60" customFormat="1" x14ac:dyDescent="0.25">
      <c r="A86" s="155" t="s">
        <v>417</v>
      </c>
      <c r="B86" s="840"/>
      <c r="C86" s="959"/>
      <c r="D86" s="959"/>
      <c r="E86" s="959"/>
      <c r="F86" s="959"/>
      <c r="G86" s="959"/>
      <c r="H86" s="959"/>
      <c r="I86" s="959"/>
      <c r="J86" s="959"/>
      <c r="K86" s="959"/>
      <c r="L86" s="959"/>
      <c r="M86" s="959"/>
      <c r="N86" s="959"/>
      <c r="O86" s="959"/>
      <c r="P86" s="959"/>
      <c r="Q86" s="959"/>
      <c r="R86" s="959"/>
      <c r="S86" s="959"/>
      <c r="T86" s="959"/>
      <c r="U86" s="959"/>
      <c r="V86" s="959"/>
      <c r="W86" s="959"/>
      <c r="X86" s="959"/>
      <c r="Y86" s="959"/>
      <c r="Z86" s="959"/>
      <c r="AA86" s="959"/>
      <c r="AB86" s="959"/>
      <c r="AC86" s="959"/>
      <c r="AD86" s="959"/>
      <c r="AE86" s="959"/>
      <c r="AF86" s="959"/>
      <c r="AG86" s="959"/>
      <c r="AH86" s="959"/>
      <c r="AI86" s="959"/>
      <c r="AJ86" s="959"/>
      <c r="AK86" s="959"/>
      <c r="AL86" s="959"/>
      <c r="AM86" s="959"/>
      <c r="AN86" s="959"/>
      <c r="AO86" s="959"/>
      <c r="AP86" s="959"/>
      <c r="AQ86" s="959"/>
      <c r="AR86" s="959"/>
      <c r="AS86" s="959"/>
      <c r="AT86" s="959"/>
      <c r="AU86" s="959"/>
      <c r="AV86" s="959"/>
      <c r="AW86" s="960"/>
      <c r="AX86" s="959"/>
      <c r="AY86" s="959"/>
      <c r="AZ86" s="959"/>
      <c r="BA86" s="959"/>
      <c r="BB86" s="959"/>
      <c r="BC86" s="959"/>
      <c r="BD86" s="959"/>
      <c r="BE86" s="959"/>
      <c r="BF86" s="959"/>
      <c r="BG86" s="959"/>
      <c r="BH86" s="239"/>
    </row>
    <row r="87" spans="1:60" customFormat="1" x14ac:dyDescent="0.25">
      <c r="A87" s="263" t="s">
        <v>126</v>
      </c>
      <c r="B87" s="264"/>
      <c r="C87" s="429">
        <f>INDEX(MO_BSS_Debt_Net,0,COLUMN())/INDEX(SP_BSR_EBITDA_LTM,0,COLUMN())</f>
        <v>-0.33907527174249058</v>
      </c>
      <c r="D87" s="429">
        <f>INDEX(MO_BSS_Debt_Net,0,COLUMN())/INDEX(SP_BSR_EBITDA_LTM,0,COLUMN())</f>
        <v>-0.43000148683578471</v>
      </c>
      <c r="E87" s="429">
        <f>INDEX(MO_BSS_Debt_Net,0,COLUMN())/INDEX(SP_BSR_EBITDA_LTM,0,COLUMN())</f>
        <v>-0.82636784192672541</v>
      </c>
      <c r="F87" s="429">
        <f>INDEX(MO_BSS_Debt_Net,0,COLUMN())/INDEX(SP_BSR_EBITDA_LTM,0,COLUMN())</f>
        <v>-2.0546606142530774</v>
      </c>
      <c r="G87" s="131"/>
      <c r="H87" s="131"/>
      <c r="I87" s="131"/>
      <c r="J87" s="131">
        <f t="shared" ref="J87:AY87" si="149">INDEX(MO_BSS_Debt_Net,0,COLUMN())/INDEX(SP_BSR_EBITDA_LTM,0,COLUMN())</f>
        <v>-2.0021811154847815</v>
      </c>
      <c r="K87" s="429">
        <f t="shared" si="149"/>
        <v>-2.0021811154847771</v>
      </c>
      <c r="L87" s="131">
        <f t="shared" si="149"/>
        <v>-1.8118767747474116</v>
      </c>
      <c r="M87" s="131">
        <f t="shared" si="149"/>
        <v>-1.6006608120007575</v>
      </c>
      <c r="N87" s="131">
        <f t="shared" si="149"/>
        <v>-1.3304491455875769</v>
      </c>
      <c r="O87" s="131">
        <f t="shared" si="149"/>
        <v>-1.2388134600421397</v>
      </c>
      <c r="P87" s="429">
        <f t="shared" si="149"/>
        <v>-1.2388134600421394</v>
      </c>
      <c r="Q87" s="131">
        <f t="shared" si="149"/>
        <v>-0.96794561393460798</v>
      </c>
      <c r="R87" s="131">
        <f t="shared" si="149"/>
        <v>-0.75815417306012989</v>
      </c>
      <c r="S87" s="131">
        <f t="shared" si="149"/>
        <v>-0.42679473372407645</v>
      </c>
      <c r="T87" s="131">
        <f t="shared" si="149"/>
        <v>0.12305766241777126</v>
      </c>
      <c r="U87" s="429">
        <f t="shared" si="149"/>
        <v>0.12305766241777119</v>
      </c>
      <c r="V87" s="131">
        <f t="shared" si="149"/>
        <v>0.65241390118034082</v>
      </c>
      <c r="W87" s="132">
        <f t="shared" si="149"/>
        <v>1.1488263511352708</v>
      </c>
      <c r="X87" s="132">
        <f t="shared" si="149"/>
        <v>2.0191431800951625</v>
      </c>
      <c r="Y87" s="132">
        <f t="shared" si="149"/>
        <v>2.6686410385665389</v>
      </c>
      <c r="Z87" s="429">
        <f t="shared" si="149"/>
        <v>2.6686410385665389</v>
      </c>
      <c r="AA87" s="132">
        <f t="shared" si="149"/>
        <v>2.4649258038826019</v>
      </c>
      <c r="AB87" s="132">
        <f t="shared" si="149"/>
        <v>3.0256802287720514</v>
      </c>
      <c r="AC87" s="132">
        <f t="shared" si="149"/>
        <v>3.1687349116937042</v>
      </c>
      <c r="AD87" s="132">
        <f t="shared" si="149"/>
        <v>3.3603956445787375</v>
      </c>
      <c r="AE87" s="429">
        <f t="shared" si="149"/>
        <v>3.360395644578738</v>
      </c>
      <c r="AF87" s="132">
        <f t="shared" si="149"/>
        <v>3.0099959234587392</v>
      </c>
      <c r="AG87" s="132">
        <f t="shared" si="149"/>
        <v>2.631483144344692</v>
      </c>
      <c r="AH87" s="132">
        <f t="shared" si="149"/>
        <v>2.6365964880962527</v>
      </c>
      <c r="AI87" s="132">
        <f t="shared" si="149"/>
        <v>3.259276569904034</v>
      </c>
      <c r="AJ87" s="429">
        <f t="shared" si="149"/>
        <v>3.2592765699040349</v>
      </c>
      <c r="AK87" s="132">
        <f t="shared" si="149"/>
        <v>3.79938713984509</v>
      </c>
      <c r="AL87" s="132">
        <f t="shared" si="149"/>
        <v>3.7100777926897952</v>
      </c>
      <c r="AM87" s="132">
        <f t="shared" si="149"/>
        <v>3.1808031702780828</v>
      </c>
      <c r="AN87" s="132">
        <f t="shared" si="149"/>
        <v>3.6389166291116335</v>
      </c>
      <c r="AO87" s="429">
        <f t="shared" si="149"/>
        <v>3.638916629111633</v>
      </c>
      <c r="AP87" s="132">
        <f t="shared" si="149"/>
        <v>3.0685954329123897</v>
      </c>
      <c r="AQ87" s="132">
        <f t="shared" si="149"/>
        <v>2.4678010272392807</v>
      </c>
      <c r="AR87" s="132">
        <f>INDEX(MO_BSS_Debt_Net,0,COLUMN())/INDEX(SP_BSR_EBITDA_LTM,0,COLUMN())</f>
        <v>2.1078939054798695</v>
      </c>
      <c r="AS87" s="132">
        <f>INDEX(MO_BSS_Debt_Net,0,COLUMN())/INDEX(SP_BSR_EBITDA_LTM,0,COLUMN())</f>
        <v>2.0077397604735872</v>
      </c>
      <c r="AT87" s="429">
        <f>INDEX(MO_BSS_Debt_Net,0,COLUMN())/INDEX(SP_BSR_EBITDA_LTM,0,COLUMN())</f>
        <v>2.0077397604735876</v>
      </c>
      <c r="AU87" s="132">
        <f t="shared" si="149"/>
        <v>1.5163066846568016</v>
      </c>
      <c r="AV87" s="132">
        <f>INDEX(MO_BSS_Debt_Net,0,COLUMN())/INDEX(SP_BSR_EBITDA_LTM,0,COLUMN())</f>
        <v>1.5282501128268011</v>
      </c>
      <c r="AW87" s="625">
        <f>INDEX(MO_BSS_Debt_Net,0,COLUMN())/INDEX(SP_BSR_EBITDA_LTM,0,COLUMN())</f>
        <v>1.4713412848176526</v>
      </c>
      <c r="AX87" s="132">
        <f t="shared" ca="1" si="149"/>
        <v>1.4981869495677596</v>
      </c>
      <c r="AY87" s="429">
        <f t="shared" ca="1" si="149"/>
        <v>1.4981869495677598</v>
      </c>
      <c r="AZ87" s="132">
        <f t="shared" ref="AZ87:BG87" ca="1" si="150">INDEX(MO_BSS_Debt_Net,0,COLUMN())/INDEX(SP_BSR_EBITDA_LTM,0,COLUMN())</f>
        <v>1.3100898223918811</v>
      </c>
      <c r="BA87" s="132">
        <f t="shared" ca="1" si="150"/>
        <v>1.1323342307147293</v>
      </c>
      <c r="BB87" s="132">
        <f t="shared" ca="1" si="150"/>
        <v>0.88333115298189879</v>
      </c>
      <c r="BC87" s="132">
        <f t="shared" ca="1" si="150"/>
        <v>0.67066218788453713</v>
      </c>
      <c r="BD87" s="429">
        <f t="shared" ca="1" si="150"/>
        <v>0.67066218788453713</v>
      </c>
      <c r="BE87" s="429">
        <f t="shared" ca="1" si="150"/>
        <v>-8.0592193768983703E-2</v>
      </c>
      <c r="BF87" s="429">
        <f t="shared" ca="1" si="150"/>
        <v>-0.78886537194405326</v>
      </c>
      <c r="BG87" s="429">
        <f t="shared" ca="1" si="150"/>
        <v>-1.3983120442357397</v>
      </c>
      <c r="BH87" s="132"/>
    </row>
    <row r="88" spans="1:60" customFormat="1" x14ac:dyDescent="0.25">
      <c r="A88" s="263" t="s">
        <v>127</v>
      </c>
      <c r="B88" s="264"/>
      <c r="C88" s="429">
        <f>INDEX(MO_BSS_Debt_Net,0,COLUMN())/INDEX(SP_BSR_CashFlow_LTM,0,COLUMN())</f>
        <v>-0.27195006645023495</v>
      </c>
      <c r="D88" s="429">
        <f>INDEX(MO_BSS_Debt_Net,0,COLUMN())/INDEX(SP_BSR_CashFlow_LTM,0,COLUMN())</f>
        <v>-0.69219510174398524</v>
      </c>
      <c r="E88" s="429">
        <f>INDEX(MO_BSS_Debt_Net,0,COLUMN())/INDEX(SP_BSR_CashFlow_LTM,0,COLUMN())</f>
        <v>-1.9682019008603822</v>
      </c>
      <c r="F88" s="429">
        <f>INDEX(MO_BSS_Debt_Net,0,COLUMN())/INDEX(SP_BSR_CashFlow_LTM,0,COLUMN())</f>
        <v>107.43148148148801</v>
      </c>
      <c r="G88" s="131"/>
      <c r="H88" s="131"/>
      <c r="I88" s="131"/>
      <c r="J88" s="131">
        <f t="shared" ref="J88:AY88" si="151">INDEX(MO_BSS_Debt_Net,0,COLUMN())/INDEX(SP_BSR_CashFlow_LTM,0,COLUMN())</f>
        <v>31.78457977854476</v>
      </c>
      <c r="K88" s="429">
        <f t="shared" si="151"/>
        <v>31.784579778544298</v>
      </c>
      <c r="L88" s="131">
        <f t="shared" si="151"/>
        <v>28.048302300109984</v>
      </c>
      <c r="M88" s="131">
        <f t="shared" si="151"/>
        <v>759.6688432838871</v>
      </c>
      <c r="N88" s="131">
        <f t="shared" si="151"/>
        <v>6.4935684102668398</v>
      </c>
      <c r="O88" s="131">
        <f t="shared" si="151"/>
        <v>5.8737854418836131</v>
      </c>
      <c r="P88" s="429">
        <f t="shared" si="151"/>
        <v>5.873785441883606</v>
      </c>
      <c r="Q88" s="131">
        <f t="shared" si="151"/>
        <v>1.947753323042323</v>
      </c>
      <c r="R88" s="131">
        <f t="shared" si="151"/>
        <v>0.79629666796453213</v>
      </c>
      <c r="S88" s="131">
        <f t="shared" si="151"/>
        <v>0.29234124560390667</v>
      </c>
      <c r="T88" s="131">
        <f t="shared" si="151"/>
        <v>-6.5754407877474927E-2</v>
      </c>
      <c r="U88" s="429">
        <f t="shared" si="151"/>
        <v>-6.5754407877474941E-2</v>
      </c>
      <c r="V88" s="131">
        <f t="shared" si="151"/>
        <v>-0.30705679403888958</v>
      </c>
      <c r="W88" s="132">
        <f t="shared" si="151"/>
        <v>-0.51239634057629946</v>
      </c>
      <c r="X88" s="132">
        <f t="shared" si="151"/>
        <v>-0.78828603178657797</v>
      </c>
      <c r="Y88" s="132">
        <f t="shared" si="151"/>
        <v>-0.97849509470919882</v>
      </c>
      <c r="Z88" s="429">
        <f t="shared" si="151"/>
        <v>-0.9784950947091986</v>
      </c>
      <c r="AA88" s="132">
        <f t="shared" si="151"/>
        <v>-1.1065851097153832</v>
      </c>
      <c r="AB88" s="132">
        <f t="shared" si="151"/>
        <v>-1.3720107949045164</v>
      </c>
      <c r="AC88" s="132">
        <f t="shared" si="151"/>
        <v>-1.6445594439411466</v>
      </c>
      <c r="AD88" s="132">
        <f t="shared" si="151"/>
        <v>-1.9904532704581472</v>
      </c>
      <c r="AE88" s="429">
        <f t="shared" si="151"/>
        <v>-1.9904532704581472</v>
      </c>
      <c r="AF88" s="132">
        <f t="shared" si="151"/>
        <v>-2.1164888654611893</v>
      </c>
      <c r="AG88" s="132">
        <f t="shared" si="151"/>
        <v>-2.2410194952323446</v>
      </c>
      <c r="AH88" s="132">
        <f t="shared" si="151"/>
        <v>-2.3397583713427519</v>
      </c>
      <c r="AI88" s="132">
        <f t="shared" si="151"/>
        <v>-2.2015720959194369</v>
      </c>
      <c r="AJ88" s="429">
        <f t="shared" si="151"/>
        <v>-2.201572095919436</v>
      </c>
      <c r="AK88" s="132">
        <f t="shared" si="151"/>
        <v>-2.6468573161009852</v>
      </c>
      <c r="AL88" s="132">
        <f t="shared" si="151"/>
        <v>-2.8914880352465908</v>
      </c>
      <c r="AM88" s="132">
        <f t="shared" si="151"/>
        <v>-3.0867425667950714</v>
      </c>
      <c r="AN88" s="132">
        <f t="shared" si="151"/>
        <v>-3.8659716451704806</v>
      </c>
      <c r="AO88" s="429">
        <f t="shared" si="151"/>
        <v>-3.8659716451704784</v>
      </c>
      <c r="AP88" s="132">
        <f t="shared" si="151"/>
        <v>-5.0294235855004965</v>
      </c>
      <c r="AQ88" s="132">
        <f t="shared" si="151"/>
        <v>-26.021169160499991</v>
      </c>
      <c r="AR88" s="132">
        <f>INDEX(MO_BSS_Debt_Net,0,COLUMN())/INDEX(SP_BSR_CashFlow_LTM,0,COLUMN())</f>
        <v>7.7939236159860137</v>
      </c>
      <c r="AS88" s="132">
        <f>INDEX(MO_BSS_Debt_Net,0,COLUMN())/INDEX(SP_BSR_CashFlow_LTM,0,COLUMN())</f>
        <v>4.1773748957888532</v>
      </c>
      <c r="AT88" s="429">
        <f>INDEX(MO_BSS_Debt_Net,0,COLUMN())/INDEX(SP_BSR_CashFlow_LTM,0,COLUMN())</f>
        <v>4.1773748957888541</v>
      </c>
      <c r="AU88" s="132">
        <f t="shared" si="151"/>
        <v>2.9489740573401919</v>
      </c>
      <c r="AV88" s="132">
        <f>INDEX(MO_BSS_Debt_Net,0,COLUMN())/INDEX(SP_BSR_CashFlow_LTM,0,COLUMN())</f>
        <v>5.029000876980648</v>
      </c>
      <c r="AW88" s="625">
        <f>INDEX(MO_BSS_Debt_Net,0,COLUMN())/INDEX(SP_BSR_CashFlow_LTM,0,COLUMN())</f>
        <v>10.489524663875139</v>
      </c>
      <c r="AX88" s="132">
        <f t="shared" ca="1" si="151"/>
        <v>7.856647048993513</v>
      </c>
      <c r="AY88" s="429">
        <f t="shared" ca="1" si="151"/>
        <v>7.8566470489935165</v>
      </c>
      <c r="AZ88" s="132">
        <f t="shared" ref="AZ88:BG88" ca="1" si="152">INDEX(MO_BSS_Debt_Net,0,COLUMN())/INDEX(SP_BSR_CashFlow_LTM,0,COLUMN())</f>
        <v>6.4328231641300455</v>
      </c>
      <c r="BA88" s="132">
        <f t="shared" ca="1" si="152"/>
        <v>3.3524124404216136</v>
      </c>
      <c r="BB88" s="132">
        <f t="shared" ca="1" si="152"/>
        <v>1.7647603883213707</v>
      </c>
      <c r="BC88" s="132">
        <f t="shared" ca="1" si="152"/>
        <v>1.3061778107286559</v>
      </c>
      <c r="BD88" s="429">
        <f t="shared" ca="1" si="152"/>
        <v>1.3061778107286559</v>
      </c>
      <c r="BE88" s="429">
        <f t="shared" ca="1" si="152"/>
        <v>-0.12809945930341743</v>
      </c>
      <c r="BF88" s="429">
        <f t="shared" ca="1" si="152"/>
        <v>-1.0765939843907462</v>
      </c>
      <c r="BG88" s="429">
        <f t="shared" ca="1" si="152"/>
        <v>-1.7969942832691286</v>
      </c>
      <c r="BH88" s="132"/>
    </row>
    <row r="89" spans="1:60" customFormat="1" x14ac:dyDescent="0.25">
      <c r="A89" s="265" t="s">
        <v>349</v>
      </c>
      <c r="B89" s="266"/>
      <c r="C89" s="430">
        <f>INDEX(MO_BSS_Debt_Net,0,COLUMN())/SUM(INDEX(MO_BS_SE,0,COLUMN()),INDEX(MO_BSS_Debt,0,COLUMN()),IFERROR(INDEX(MO_BSS_OL,0,COLUMN()),0))</f>
        <v>-0.18818415784958528</v>
      </c>
      <c r="D89" s="430">
        <f>INDEX(MO_BSS_Debt_Net,0,COLUMN())/SUM(INDEX(MO_BS_SE,0,COLUMN()),INDEX(MO_BSS_Debt,0,COLUMN()),IFERROR(INDEX(MO_BSS_OL,0,COLUMN()),0))</f>
        <v>-0.30680955761745049</v>
      </c>
      <c r="E89" s="430">
        <f>INDEX(MO_BSS_Debt_Net,0,COLUMN())/SUM(INDEX(MO_BS_SE,0,COLUMN()),INDEX(MO_BSS_Debt,0,COLUMN()),IFERROR(INDEX(MO_BSS_OL,0,COLUMN()),0))</f>
        <v>-0.38147984771914339</v>
      </c>
      <c r="F89" s="430">
        <f>INDEX(MO_BSS_Debt_Net,0,COLUMN())/SUM(INDEX(MO_BS_SE,0,COLUMN()),INDEX(MO_BSS_Debt,0,COLUMN()),IFERROR(INDEX(MO_BSS_OL,0,COLUMN()),0))</f>
        <v>-0.30408509679183487</v>
      </c>
      <c r="G89" s="133"/>
      <c r="H89" s="133"/>
      <c r="I89" s="133"/>
      <c r="J89" s="133">
        <f t="shared" ref="J89:AY89" si="153">INDEX(MO_BSS_Debt_Net,0,COLUMN())/SUM(INDEX(MO_BS_SE,0,COLUMN()),INDEX(MO_BSS_Debt,0,COLUMN()),IFERROR(INDEX(MO_BSS_OL,0,COLUMN()),0))</f>
        <v>-0.38199165449090605</v>
      </c>
      <c r="K89" s="430">
        <f t="shared" si="153"/>
        <v>-0.38199165449090605</v>
      </c>
      <c r="L89" s="133">
        <f t="shared" si="153"/>
        <v>-0.32301402900656667</v>
      </c>
      <c r="M89" s="133">
        <f t="shared" si="153"/>
        <v>-0.32448634401254323</v>
      </c>
      <c r="N89" s="133">
        <f t="shared" si="153"/>
        <v>-0.29213554631574695</v>
      </c>
      <c r="O89" s="133">
        <f t="shared" si="153"/>
        <v>-0.25691480026166652</v>
      </c>
      <c r="P89" s="430">
        <f t="shared" si="153"/>
        <v>-0.25691480026166652</v>
      </c>
      <c r="Q89" s="133">
        <f t="shared" si="153"/>
        <v>-0.12942221017568403</v>
      </c>
      <c r="R89" s="133">
        <f t="shared" si="153"/>
        <v>-8.9519694499754568E-2</v>
      </c>
      <c r="S89" s="133">
        <f t="shared" si="153"/>
        <v>-4.5900460620434104E-2</v>
      </c>
      <c r="T89" s="133">
        <f t="shared" si="153"/>
        <v>1.3199085572609645E-2</v>
      </c>
      <c r="U89" s="430">
        <f t="shared" si="153"/>
        <v>1.3199085572609645E-2</v>
      </c>
      <c r="V89" s="133">
        <f t="shared" si="153"/>
        <v>6.3919422550742053E-2</v>
      </c>
      <c r="W89" s="133">
        <f t="shared" si="153"/>
        <v>0.11252163588484165</v>
      </c>
      <c r="X89" s="133">
        <f t="shared" si="153"/>
        <v>0.21022318890002956</v>
      </c>
      <c r="Y89" s="133">
        <f t="shared" si="153"/>
        <v>0.26977151809422423</v>
      </c>
      <c r="Z89" s="430">
        <f t="shared" si="153"/>
        <v>0.26977151809422423</v>
      </c>
      <c r="AA89" s="133">
        <f t="shared" si="153"/>
        <v>0.3193193875358607</v>
      </c>
      <c r="AB89" s="133">
        <f t="shared" si="153"/>
        <v>0.33609250570071564</v>
      </c>
      <c r="AC89" s="133">
        <f t="shared" si="153"/>
        <v>0.38245605237688146</v>
      </c>
      <c r="AD89" s="133">
        <f t="shared" si="153"/>
        <v>0.36425906829496096</v>
      </c>
      <c r="AE89" s="430">
        <f t="shared" si="153"/>
        <v>0.36425906829496096</v>
      </c>
      <c r="AF89" s="133">
        <f t="shared" si="153"/>
        <v>0.37327061943824646</v>
      </c>
      <c r="AG89" s="133">
        <f t="shared" si="153"/>
        <v>0.34490130478499043</v>
      </c>
      <c r="AH89" s="133">
        <f t="shared" si="153"/>
        <v>0.39397031628161305</v>
      </c>
      <c r="AI89" s="133">
        <f t="shared" si="153"/>
        <v>0.4197763510746933</v>
      </c>
      <c r="AJ89" s="430">
        <f t="shared" si="153"/>
        <v>0.4197763510746933</v>
      </c>
      <c r="AK89" s="133">
        <f t="shared" si="153"/>
        <v>0.46298720442235775</v>
      </c>
      <c r="AL89" s="133">
        <f t="shared" si="153"/>
        <v>0.43722381515015579</v>
      </c>
      <c r="AM89" s="133">
        <f t="shared" si="153"/>
        <v>0.44506160766673192</v>
      </c>
      <c r="AN89" s="133">
        <f t="shared" si="153"/>
        <v>0.47292310791753966</v>
      </c>
      <c r="AO89" s="430">
        <f t="shared" si="153"/>
        <v>0.47292310791753966</v>
      </c>
      <c r="AP89" s="133">
        <f t="shared" si="153"/>
        <v>0.44933763380810254</v>
      </c>
      <c r="AQ89" s="133">
        <f t="shared" si="153"/>
        <v>0.38931136558074814</v>
      </c>
      <c r="AR89" s="133">
        <f>INDEX(MO_BSS_Debt_Net,0,COLUMN())/SUM(INDEX(MO_BS_SE,0,COLUMN()),INDEX(MO_BSS_Debt,0,COLUMN()),IFERROR(INDEX(MO_BSS_OL,0,COLUMN()),0))</f>
        <v>0.34122576048659009</v>
      </c>
      <c r="AS89" s="133">
        <f>INDEX(MO_BSS_Debt_Net,0,COLUMN())/SUM(INDEX(MO_BS_SE,0,COLUMN()),INDEX(MO_BSS_Debt,0,COLUMN()),IFERROR(INDEX(MO_BSS_OL,0,COLUMN()),0))</f>
        <v>0.34730636589734426</v>
      </c>
      <c r="AT89" s="430">
        <f>INDEX(MO_BSS_Debt_Net,0,COLUMN())/SUM(INDEX(MO_BS_SE,0,COLUMN()),INDEX(MO_BSS_Debt,0,COLUMN()),IFERROR(INDEX(MO_BSS_OL,0,COLUMN()),0))</f>
        <v>0.34730636589734426</v>
      </c>
      <c r="AU89" s="133">
        <f t="shared" si="153"/>
        <v>0.30378293408906049</v>
      </c>
      <c r="AV89" s="133">
        <f>INDEX(MO_BSS_Debt_Net,0,COLUMN())/SUM(INDEX(MO_BS_SE,0,COLUMN()),INDEX(MO_BSS_Debt,0,COLUMN()),IFERROR(INDEX(MO_BSS_OL,0,COLUMN()),0))</f>
        <v>0.31875082823762507</v>
      </c>
      <c r="AW89" s="626">
        <f>INDEX(MO_BSS_Debt_Net,0,COLUMN())/SUM(INDEX(MO_BS_SE,0,COLUMN()),INDEX(MO_BSS_Debt,0,COLUMN()),IFERROR(INDEX(MO_BSS_OL,0,COLUMN()),0))</f>
        <v>0.3137231599378475</v>
      </c>
      <c r="AX89" s="133">
        <f t="shared" ca="1" si="153"/>
        <v>0.29794543410232055</v>
      </c>
      <c r="AY89" s="430">
        <f t="shared" ca="1" si="153"/>
        <v>0.29794543410232055</v>
      </c>
      <c r="AZ89" s="133">
        <f t="shared" ref="AZ89:BG89" ca="1" si="154">INDEX(MO_BSS_Debt_Net,0,COLUMN())/SUM(INDEX(MO_BS_SE,0,COLUMN()),INDEX(MO_BSS_Debt,0,COLUMN()),IFERROR(INDEX(MO_BSS_OL,0,COLUMN()),0))</f>
        <v>0.25721879105571493</v>
      </c>
      <c r="BA89" s="133">
        <f t="shared" ca="1" si="154"/>
        <v>0.22218513679289278</v>
      </c>
      <c r="BB89" s="133">
        <f t="shared" ca="1" si="154"/>
        <v>0.1749917113363974</v>
      </c>
      <c r="BC89" s="133">
        <f t="shared" ca="1" si="154"/>
        <v>0.14495000426458882</v>
      </c>
      <c r="BD89" s="430">
        <f t="shared" ca="1" si="154"/>
        <v>0.14495000426458882</v>
      </c>
      <c r="BE89" s="430">
        <f t="shared" ca="1" si="154"/>
        <v>-1.8212465221505696E-2</v>
      </c>
      <c r="BF89" s="430">
        <f t="shared" ca="1" si="154"/>
        <v>-0.18118763456311157</v>
      </c>
      <c r="BG89" s="430">
        <f t="shared" ca="1" si="154"/>
        <v>-0.33067472352609667</v>
      </c>
      <c r="BH89" s="374"/>
    </row>
    <row r="90" spans="1:60" customFormat="1" hidden="1" outlineLevel="1" x14ac:dyDescent="0.25">
      <c r="A90" s="260" t="s">
        <v>350</v>
      </c>
      <c r="B90" s="160"/>
      <c r="C90" s="956">
        <f>C51</f>
        <v>242.60100000000003</v>
      </c>
      <c r="D90" s="956">
        <f>D51</f>
        <v>349.73599999999999</v>
      </c>
      <c r="E90" s="956">
        <f>E51</f>
        <v>481.39700000000011</v>
      </c>
      <c r="F90" s="956">
        <f>F51</f>
        <v>169.40900000000019</v>
      </c>
      <c r="G90" s="957"/>
      <c r="H90" s="957"/>
      <c r="I90" s="957"/>
      <c r="J90" s="957">
        <f>SUM(J51,I51,H51,G51)</f>
        <v>349.82099999999923</v>
      </c>
      <c r="K90" s="956">
        <f>K51</f>
        <v>349.82099999999997</v>
      </c>
      <c r="L90" s="957">
        <f>SUM(L51,J51,I51,H51)</f>
        <v>424.00399999999911</v>
      </c>
      <c r="M90" s="957">
        <f>SUM(M51,L51,J51,I51)</f>
        <v>508.76799999999901</v>
      </c>
      <c r="N90" s="957">
        <f>SUM(N51,M51,L51,J51)</f>
        <v>576.36099999999897</v>
      </c>
      <c r="O90" s="957">
        <f>SUM(O51,N51,M51,L51)</f>
        <v>571.91499999999962</v>
      </c>
      <c r="P90" s="956">
        <f>P51</f>
        <v>571.91499999999974</v>
      </c>
      <c r="Q90" s="957">
        <f>SUM(Q51,O51,N51,M51)</f>
        <v>576.17699999999945</v>
      </c>
      <c r="R90" s="957">
        <f>SUM(R51,Q51,O51,N51)</f>
        <v>523.32099999999946</v>
      </c>
      <c r="S90" s="957">
        <f>SUM(S51,R51,Q51,O51)</f>
        <v>491.2009999999994</v>
      </c>
      <c r="T90" s="957">
        <f>SUM(T51,S51,R51,Q51)</f>
        <v>492.83400000000046</v>
      </c>
      <c r="U90" s="956">
        <f>U51</f>
        <v>492.83400000000069</v>
      </c>
      <c r="V90" s="957">
        <f>SUM(V51,T51,S51,R51)</f>
        <v>459.44300000000078</v>
      </c>
      <c r="W90" s="957">
        <f>SUM(W51,V51,T51,S51)</f>
        <v>469.05000000000109</v>
      </c>
      <c r="X90" s="957">
        <f>SUM(X51,W51,V51,T51)</f>
        <v>510.46900000000119</v>
      </c>
      <c r="Y90" s="957">
        <f>SUM(Y51,X51,W51,V51)</f>
        <v>610.99599999999964</v>
      </c>
      <c r="Z90" s="956">
        <f>Z51</f>
        <v>610.99599999999964</v>
      </c>
      <c r="AA90" s="957">
        <f>SUM(AA51,Y51,X51,W51)</f>
        <v>821.20199999999977</v>
      </c>
      <c r="AB90" s="957">
        <f>SUM(AB51,AA51,Y51,X51)</f>
        <v>882.97499999999945</v>
      </c>
      <c r="AC90" s="957">
        <f>SUM(AC51,AB51,AA51,Y51)</f>
        <v>991.66199999999935</v>
      </c>
      <c r="AD90" s="957">
        <f>SUM(AD51,AC51,AB51,AA51)</f>
        <v>1092.799</v>
      </c>
      <c r="AE90" s="956">
        <f>AE51</f>
        <v>1092.7989999999998</v>
      </c>
      <c r="AF90" s="957">
        <f>SUM(AF51,AD51,AC51,AB51)</f>
        <v>1309.9339999999997</v>
      </c>
      <c r="AG90" s="957">
        <f>SUM(AG51,AF51,AD51,AC51)</f>
        <v>1682.7289999999998</v>
      </c>
      <c r="AH90" s="957">
        <f>SUM(AH51,AG51,AF51,AD51)</f>
        <v>1994.2459999999996</v>
      </c>
      <c r="AI90" s="957">
        <f>SUM(AI51,AH51,AG51,AF51)</f>
        <v>2009.04</v>
      </c>
      <c r="AJ90" s="956">
        <f>AJ51</f>
        <v>2009.0399999999995</v>
      </c>
      <c r="AK90" s="957">
        <f>SUM(AK51,AI51,AH51,AG51)</f>
        <v>2058.8710000000001</v>
      </c>
      <c r="AL90" s="957">
        <f>SUM(AL51,AK51,AI51,AH51)</f>
        <v>2331.453</v>
      </c>
      <c r="AM90" s="957">
        <f>SUM(AM51,AL51,AK51,AI51)</f>
        <v>2854.5129999999999</v>
      </c>
      <c r="AN90" s="957">
        <f>SUM(AN51,AM51,AL51,AK51)</f>
        <v>3113.2090000000003</v>
      </c>
      <c r="AO90" s="956">
        <f>AO51</f>
        <v>3113.2090000000007</v>
      </c>
      <c r="AP90" s="957">
        <f>SUM(AP51,AN51,AM51,AL51)</f>
        <v>3613.1559999999999</v>
      </c>
      <c r="AQ90" s="957">
        <f>SUM(AQ51,AP51,AN51,AM51)</f>
        <v>4266.192</v>
      </c>
      <c r="AR90" s="957">
        <f>SUM(AR51,AQ51,AP51,AN51)</f>
        <v>4608.7960000000003</v>
      </c>
      <c r="AS90" s="957">
        <f>SUM(AS51,AR51,AQ51,AP51)</f>
        <v>5116.1790000000028</v>
      </c>
      <c r="AT90" s="956">
        <f>AT51</f>
        <v>5116.179000000001</v>
      </c>
      <c r="AU90" s="957">
        <f>SUM(AU51,AS51,AR51,AQ51)</f>
        <v>6135.2140000000036</v>
      </c>
      <c r="AV90" s="957">
        <f>SUM(AV51,AU51,AS51,AR51)</f>
        <v>6634.0620000000035</v>
      </c>
      <c r="AW90" s="958">
        <f>SUM(AW51,AV51,AU51,AS51)</f>
        <v>7104.8370000000032</v>
      </c>
      <c r="AX90" s="957">
        <f>SUM(AX51,AW51,AV51,AU51)</f>
        <v>6716.2559469589369</v>
      </c>
      <c r="AY90" s="956">
        <f>AY51</f>
        <v>6716.255946958936</v>
      </c>
      <c r="AZ90" s="957">
        <f>SUM(AZ51,AX51,AW51,AV51)</f>
        <v>6972.6915796403064</v>
      </c>
      <c r="BA90" s="957">
        <f>SUM(BA51,AZ51,AX51,AW51)</f>
        <v>7303.6631870846059</v>
      </c>
      <c r="BB90" s="957">
        <f>SUM(BB51,BA51,AZ51,AX51)</f>
        <v>7714.0348848525646</v>
      </c>
      <c r="BC90" s="957">
        <f>SUM(BC51,BB51,BA51,AZ51)</f>
        <v>8670.4649377233691</v>
      </c>
      <c r="BD90" s="956">
        <f>BD51</f>
        <v>8670.4649377233691</v>
      </c>
      <c r="BE90" s="956">
        <f>BE51</f>
        <v>10915.713664636913</v>
      </c>
      <c r="BF90" s="956">
        <f>BF51</f>
        <v>13460.571188803928</v>
      </c>
      <c r="BG90" s="956">
        <f>BG51</f>
        <v>16992.67023813304</v>
      </c>
      <c r="BH90" s="372"/>
    </row>
    <row r="91" spans="1:60" customFormat="1" hidden="1" outlineLevel="1" x14ac:dyDescent="0.25">
      <c r="A91" s="260" t="s">
        <v>351</v>
      </c>
      <c r="B91" s="160"/>
      <c r="C91" s="956">
        <f>C67</f>
        <v>302.48199999999997</v>
      </c>
      <c r="D91" s="956">
        <f>D67</f>
        <v>217.26100000000002</v>
      </c>
      <c r="E91" s="956">
        <f>E67</f>
        <v>202.11900000000017</v>
      </c>
      <c r="F91" s="956">
        <f>F67</f>
        <v>-3.239999999999803</v>
      </c>
      <c r="G91" s="957"/>
      <c r="H91" s="957"/>
      <c r="I91" s="957"/>
      <c r="J91" s="957">
        <f>SUM(J67,I67,H67,G67)</f>
        <v>-22.035999999999618</v>
      </c>
      <c r="K91" s="956">
        <f>K67</f>
        <v>-22.035999999999937</v>
      </c>
      <c r="L91" s="957">
        <f>SUM(L67,J67,I67,H67)</f>
        <v>-27.389999999999553</v>
      </c>
      <c r="M91" s="957">
        <f>SUM(M67,L67,J67,I67)</f>
        <v>-1.0719999999995693</v>
      </c>
      <c r="N91" s="957">
        <f>SUM(N67,M67,L67,J67)</f>
        <v>-118.08899999999987</v>
      </c>
      <c r="O91" s="957">
        <f>SUM(O67,N67,M67,L67)</f>
        <v>-120.61999999999973</v>
      </c>
      <c r="P91" s="956">
        <f>P67</f>
        <v>-120.61999999999988</v>
      </c>
      <c r="Q91" s="957">
        <f>SUM(Q67,O67,N67,M67)</f>
        <v>-286.33399999999978</v>
      </c>
      <c r="R91" s="957">
        <f>SUM(R67,Q67,O67,N67)</f>
        <v>-498.25399999999979</v>
      </c>
      <c r="S91" s="957">
        <f>SUM(S67,R67,Q67,O67)</f>
        <v>-717.11399999999958</v>
      </c>
      <c r="T91" s="957">
        <f>SUM(T67,S67,R67,Q67)</f>
        <v>-922.32599999999991</v>
      </c>
      <c r="U91" s="956">
        <f>U67</f>
        <v>-922.32599999999979</v>
      </c>
      <c r="V91" s="957">
        <f>SUM(V67,T67,S67,R67)</f>
        <v>-976.1940000000003</v>
      </c>
      <c r="W91" s="957">
        <f>SUM(W67,V67,T67,S67)</f>
        <v>-1051.6409999999996</v>
      </c>
      <c r="X91" s="957">
        <f>SUM(X67,W67,V67,T67)</f>
        <v>-1307.5330000000001</v>
      </c>
      <c r="Y91" s="957">
        <f>SUM(Y67,X67,W67,V67)</f>
        <v>-1666.3640000000007</v>
      </c>
      <c r="Z91" s="956">
        <f>Z67</f>
        <v>-1666.3640000000009</v>
      </c>
      <c r="AA91" s="957">
        <f>SUM(AA67,Y67,X67,W67)</f>
        <v>-1829.2330000000004</v>
      </c>
      <c r="AB91" s="957">
        <f>SUM(AB67,AA67,Y67,X67)</f>
        <v>-1947.2150000000017</v>
      </c>
      <c r="AC91" s="957">
        <f>SUM(AC67,AB67,AA67,Y67)</f>
        <v>-1910.7330000000009</v>
      </c>
      <c r="AD91" s="957">
        <f>SUM(AD67,AC67,AB67,AA67)</f>
        <v>-1844.9250000000011</v>
      </c>
      <c r="AE91" s="956">
        <f>AE67</f>
        <v>-1844.9250000000011</v>
      </c>
      <c r="AF91" s="957">
        <f>SUM(AF67,AD67,AC67,AB67)</f>
        <v>-1862.9420000000002</v>
      </c>
      <c r="AG91" s="957">
        <f>SUM(AG67,AF67,AD67,AC67)</f>
        <v>-1975.9189999999996</v>
      </c>
      <c r="AH91" s="957">
        <f>SUM(AH67,AG67,AF67,AD67)</f>
        <v>-2247.25</v>
      </c>
      <c r="AI91" s="957">
        <f>SUM(AI67,AH67,AG67,AF67)</f>
        <v>-2974.2459999999996</v>
      </c>
      <c r="AJ91" s="956">
        <f>AJ67</f>
        <v>-2974.2460000000005</v>
      </c>
      <c r="AK91" s="957">
        <f>SUM(AK67,AI67,AH67,AG67)</f>
        <v>-2955.3719999999998</v>
      </c>
      <c r="AL91" s="957">
        <f>SUM(AL67,AK67,AI67,AH67)</f>
        <v>-2991.4950000000003</v>
      </c>
      <c r="AM91" s="957">
        <f>SUM(AM67,AL67,AK67,AI67)</f>
        <v>-2941.4969999999994</v>
      </c>
      <c r="AN91" s="957">
        <f>SUM(AN67,AM67,AL67,AK67)</f>
        <v>-2930.3650000000011</v>
      </c>
      <c r="AO91" s="956">
        <f>AO67</f>
        <v>-2930.365000000003</v>
      </c>
      <c r="AP91" s="957">
        <f>SUM(AP67,AN67,AM67,AL67)</f>
        <v>-2204.4900000000016</v>
      </c>
      <c r="AQ91" s="957">
        <f>SUM(AQ67,AP67,AN67,AM67)</f>
        <v>-404.59800000000098</v>
      </c>
      <c r="AR91" s="957">
        <f>SUM(AR67,AQ67,AP67,AN67)</f>
        <v>1246.4649999999992</v>
      </c>
      <c r="AS91" s="957">
        <f>SUM(AS67,AR67,AQ67,AP67)</f>
        <v>2458.9500000000003</v>
      </c>
      <c r="AT91" s="956">
        <f>AT67</f>
        <v>2458.9499999999998</v>
      </c>
      <c r="AU91" s="957">
        <f>SUM(AU67,AS67,AR67,AQ67)</f>
        <v>3154.6109999999999</v>
      </c>
      <c r="AV91" s="957">
        <f>SUM(AV67,AU67,AS67,AR67)</f>
        <v>2016.0079999999996</v>
      </c>
      <c r="AW91" s="958">
        <f>SUM(AW67,AV67,AU67,AS67)</f>
        <v>996.57899999999802</v>
      </c>
      <c r="AX91" s="957">
        <f>SUM(AX67,AW67,AV67,AU67)</f>
        <v>1280.7253459323679</v>
      </c>
      <c r="AY91" s="956">
        <f>AY67</f>
        <v>1280.7253459323672</v>
      </c>
      <c r="AZ91" s="957">
        <f ca="1">SUM(AZ67,AX67,AW67,AV67)</f>
        <v>1420.0378341038545</v>
      </c>
      <c r="BA91" s="957">
        <f ca="1">SUM(BA67,AZ67,AX67,AW67)</f>
        <v>2466.936268529907</v>
      </c>
      <c r="BB91" s="957">
        <f ca="1">SUM(BB67,BA67,AZ67,AX67)</f>
        <v>3861.1742274320222</v>
      </c>
      <c r="BC91" s="957">
        <f ca="1">SUM(BC67,BB67,BA67,AZ67)</f>
        <v>4451.8846801308237</v>
      </c>
      <c r="BD91" s="956">
        <f ca="1">BD67</f>
        <v>4451.8846801308237</v>
      </c>
      <c r="BE91" s="956">
        <f ca="1">BE67</f>
        <v>6867.4865262580552</v>
      </c>
      <c r="BF91" s="956">
        <f ca="1">BF67</f>
        <v>9863.1226361945191</v>
      </c>
      <c r="BG91" s="956">
        <f ca="1">BG67</f>
        <v>13222.66613696791</v>
      </c>
      <c r="BH91" s="372"/>
    </row>
    <row r="92" spans="1:60" customFormat="1" collapsed="1" x14ac:dyDescent="0.25">
      <c r="A92" s="249"/>
      <c r="B92" s="254"/>
      <c r="C92" s="956"/>
      <c r="D92" s="956"/>
      <c r="E92" s="956"/>
      <c r="F92" s="956"/>
      <c r="G92" s="957"/>
      <c r="H92" s="957"/>
      <c r="I92" s="957"/>
      <c r="J92" s="957"/>
      <c r="K92" s="956"/>
      <c r="L92" s="957"/>
      <c r="M92" s="957"/>
      <c r="N92" s="957"/>
      <c r="O92" s="957"/>
      <c r="P92" s="956"/>
      <c r="Q92" s="957"/>
      <c r="R92" s="957"/>
      <c r="S92" s="957"/>
      <c r="T92" s="957"/>
      <c r="U92" s="956"/>
      <c r="V92" s="957"/>
      <c r="W92" s="957"/>
      <c r="X92" s="957"/>
      <c r="Y92" s="957"/>
      <c r="Z92" s="956"/>
      <c r="AA92" s="957"/>
      <c r="AB92" s="957"/>
      <c r="AC92" s="957"/>
      <c r="AD92" s="957"/>
      <c r="AE92" s="956"/>
      <c r="AF92" s="957"/>
      <c r="AG92" s="957"/>
      <c r="AH92" s="957"/>
      <c r="AI92" s="957"/>
      <c r="AJ92" s="956"/>
      <c r="AK92" s="957"/>
      <c r="AL92" s="957"/>
      <c r="AM92" s="957"/>
      <c r="AN92" s="957"/>
      <c r="AO92" s="956"/>
      <c r="AP92" s="957"/>
      <c r="AQ92" s="957"/>
      <c r="AR92" s="957"/>
      <c r="AS92" s="957"/>
      <c r="AT92" s="956"/>
      <c r="AU92" s="957"/>
      <c r="AV92" s="957"/>
      <c r="AW92" s="958"/>
      <c r="AX92" s="957"/>
      <c r="AY92" s="956"/>
      <c r="AZ92" s="957"/>
      <c r="BA92" s="957"/>
      <c r="BB92" s="957"/>
      <c r="BC92" s="957"/>
      <c r="BD92" s="956"/>
      <c r="BE92" s="956"/>
      <c r="BF92" s="956"/>
      <c r="BG92" s="956"/>
      <c r="BH92" s="239"/>
    </row>
    <row r="93" spans="1:60" customFormat="1" x14ac:dyDescent="0.25">
      <c r="A93" s="155" t="s">
        <v>418</v>
      </c>
      <c r="B93" s="840"/>
      <c r="C93" s="959"/>
      <c r="D93" s="959"/>
      <c r="E93" s="959"/>
      <c r="F93" s="959"/>
      <c r="G93" s="959"/>
      <c r="H93" s="959"/>
      <c r="I93" s="959"/>
      <c r="J93" s="959"/>
      <c r="K93" s="959"/>
      <c r="L93" s="959"/>
      <c r="M93" s="959"/>
      <c r="N93" s="959"/>
      <c r="O93" s="959"/>
      <c r="P93" s="959"/>
      <c r="Q93" s="959"/>
      <c r="R93" s="959"/>
      <c r="S93" s="959"/>
      <c r="T93" s="959"/>
      <c r="U93" s="959"/>
      <c r="V93" s="959"/>
      <c r="W93" s="959"/>
      <c r="X93" s="959"/>
      <c r="Y93" s="959"/>
      <c r="Z93" s="959"/>
      <c r="AA93" s="959"/>
      <c r="AB93" s="959"/>
      <c r="AC93" s="959"/>
      <c r="AD93" s="959"/>
      <c r="AE93" s="959"/>
      <c r="AF93" s="959"/>
      <c r="AG93" s="959"/>
      <c r="AH93" s="959"/>
      <c r="AI93" s="959"/>
      <c r="AJ93" s="959"/>
      <c r="AK93" s="959"/>
      <c r="AL93" s="959"/>
      <c r="AM93" s="959"/>
      <c r="AN93" s="959"/>
      <c r="AO93" s="959"/>
      <c r="AP93" s="959"/>
      <c r="AQ93" s="959"/>
      <c r="AR93" s="959"/>
      <c r="AS93" s="959"/>
      <c r="AT93" s="959"/>
      <c r="AU93" s="959"/>
      <c r="AV93" s="959"/>
      <c r="AW93" s="960"/>
      <c r="AX93" s="959"/>
      <c r="AY93" s="959"/>
      <c r="AZ93" s="959"/>
      <c r="BA93" s="959"/>
      <c r="BB93" s="959"/>
      <c r="BC93" s="959"/>
      <c r="BD93" s="959"/>
      <c r="BE93" s="959"/>
      <c r="BF93" s="959"/>
      <c r="BG93" s="959"/>
      <c r="BH93" s="239"/>
    </row>
    <row r="94" spans="1:60" customFormat="1" hidden="1" outlineLevel="1" x14ac:dyDescent="0.25">
      <c r="A94" s="250" t="s">
        <v>352</v>
      </c>
      <c r="B94" s="251"/>
      <c r="C94" s="961">
        <f t="shared" ref="C94:AH94" si="155">INDEX(SP_NGF_NI,0,COLUMN())</f>
        <v>115.86000000000001</v>
      </c>
      <c r="D94" s="961">
        <f t="shared" si="155"/>
        <v>160.85299999999995</v>
      </c>
      <c r="E94" s="961">
        <f t="shared" si="155"/>
        <v>226.12600000000012</v>
      </c>
      <c r="F94" s="961">
        <f t="shared" si="155"/>
        <v>17.152000000000189</v>
      </c>
      <c r="G94" s="962">
        <f t="shared" si="155"/>
        <v>18.666000000000029</v>
      </c>
      <c r="H94" s="962">
        <f t="shared" si="155"/>
        <v>29.471000000000071</v>
      </c>
      <c r="I94" s="962">
        <f t="shared" si="155"/>
        <v>31.822000000000063</v>
      </c>
      <c r="J94" s="962">
        <f t="shared" si="155"/>
        <v>48.420999999999104</v>
      </c>
      <c r="K94" s="961">
        <f t="shared" si="155"/>
        <v>128.37999999999997</v>
      </c>
      <c r="L94" s="962">
        <f t="shared" si="155"/>
        <v>53.114999999999917</v>
      </c>
      <c r="M94" s="962">
        <f t="shared" si="155"/>
        <v>71.017999999999972</v>
      </c>
      <c r="N94" s="962">
        <f t="shared" si="155"/>
        <v>59.29500000000003</v>
      </c>
      <c r="O94" s="962">
        <f t="shared" si="155"/>
        <v>44.758999999999709</v>
      </c>
      <c r="P94" s="961">
        <f t="shared" si="155"/>
        <v>228.1869999999997</v>
      </c>
      <c r="Q94" s="962">
        <f t="shared" si="155"/>
        <v>48.008999999999787</v>
      </c>
      <c r="R94" s="962">
        <f t="shared" si="155"/>
        <v>26.33499999999998</v>
      </c>
      <c r="S94" s="962">
        <f t="shared" si="155"/>
        <v>29.43199999999991</v>
      </c>
      <c r="T94" s="962">
        <f t="shared" si="155"/>
        <v>29.740000000000784</v>
      </c>
      <c r="U94" s="961">
        <f t="shared" si="155"/>
        <v>133.5160000000007</v>
      </c>
      <c r="V94" s="962">
        <f t="shared" si="155"/>
        <v>27.658000000000147</v>
      </c>
      <c r="W94" s="962">
        <f t="shared" si="155"/>
        <v>40.755000000000237</v>
      </c>
      <c r="X94" s="962">
        <f t="shared" si="155"/>
        <v>51.517000000000067</v>
      </c>
      <c r="Y94" s="962">
        <f t="shared" si="155"/>
        <v>66.747999999999308</v>
      </c>
      <c r="Z94" s="961">
        <f t="shared" si="155"/>
        <v>186.67799999999968</v>
      </c>
      <c r="AA94" s="962">
        <f t="shared" si="155"/>
        <v>178.22200000000021</v>
      </c>
      <c r="AB94" s="962">
        <f t="shared" si="155"/>
        <v>65.600000000000023</v>
      </c>
      <c r="AC94" s="962">
        <f t="shared" si="155"/>
        <v>129.58999999999983</v>
      </c>
      <c r="AD94" s="962">
        <f t="shared" si="155"/>
        <v>185.51699999999985</v>
      </c>
      <c r="AE94" s="961">
        <f t="shared" si="155"/>
        <v>558.92899999999963</v>
      </c>
      <c r="AF94" s="962">
        <f t="shared" si="155"/>
        <v>290.12400000000008</v>
      </c>
      <c r="AG94" s="962">
        <f t="shared" si="155"/>
        <v>384.34899999999999</v>
      </c>
      <c r="AH94" s="962">
        <f t="shared" si="155"/>
        <v>402.83499999999964</v>
      </c>
      <c r="AI94" s="962">
        <f t="shared" ref="AI94:AY94" si="156">INDEX(SP_NGF_NI,0,COLUMN())</f>
        <v>133.93400000000008</v>
      </c>
      <c r="AJ94" s="961">
        <f t="shared" si="156"/>
        <v>1211.2419999999997</v>
      </c>
      <c r="AK94" s="962">
        <f t="shared" si="156"/>
        <v>344.05200000000025</v>
      </c>
      <c r="AL94" s="962">
        <f t="shared" si="156"/>
        <v>270.64999999999986</v>
      </c>
      <c r="AM94" s="962">
        <f t="shared" si="156"/>
        <v>665.24399999999991</v>
      </c>
      <c r="AN94" s="962">
        <f t="shared" si="156"/>
        <v>586.97000000000037</v>
      </c>
      <c r="AO94" s="961">
        <f t="shared" si="156"/>
        <v>1866.9160000000006</v>
      </c>
      <c r="AP94" s="962">
        <f t="shared" si="156"/>
        <v>709.06699999999989</v>
      </c>
      <c r="AQ94" s="962">
        <f t="shared" si="156"/>
        <v>720.19600000000037</v>
      </c>
      <c r="AR94" s="962">
        <f>INDEX(SP_NGF_NI,0,COLUMN())</f>
        <v>789.97599999999932</v>
      </c>
      <c r="AS94" s="962">
        <f>INDEX(SP_NGF_NI,0,COLUMN())</f>
        <v>542.15600000000336</v>
      </c>
      <c r="AT94" s="961">
        <f>INDEX(SP_NGF_NI,0,COLUMN())</f>
        <v>2761.3950000000004</v>
      </c>
      <c r="AU94" s="962">
        <f t="shared" si="156"/>
        <v>1706.7150000000001</v>
      </c>
      <c r="AV94" s="962">
        <f>INDEX(SP_NGF_NI,0,COLUMN())</f>
        <v>1353.0130000000001</v>
      </c>
      <c r="AW94" s="963">
        <f>INDEX(SP_NGF_NI,0,COLUMN())</f>
        <v>1449.0709999999997</v>
      </c>
      <c r="AX94" s="962">
        <f t="shared" si="156"/>
        <v>350.35107930358816</v>
      </c>
      <c r="AY94" s="961">
        <f t="shared" si="156"/>
        <v>4859.1500793035902</v>
      </c>
      <c r="AZ94" s="962">
        <f t="shared" ref="AZ94:BG94" ca="1" si="157">INDEX(SP_NGF_NI,0,COLUMN())</f>
        <v>1637.9864130617766</v>
      </c>
      <c r="BA94" s="962">
        <f t="shared" ca="1" si="157"/>
        <v>1601.1691956012214</v>
      </c>
      <c r="BB94" s="962">
        <f t="shared" ca="1" si="157"/>
        <v>1607.1642693270355</v>
      </c>
      <c r="BC94" s="962">
        <f t="shared" ca="1" si="157"/>
        <v>1064.3857609071911</v>
      </c>
      <c r="BD94" s="961">
        <f t="shared" ca="1" si="157"/>
        <v>5910.7056388972242</v>
      </c>
      <c r="BE94" s="961">
        <f t="shared" ca="1" si="157"/>
        <v>7696.1873227945907</v>
      </c>
      <c r="BF94" s="961">
        <f t="shared" ca="1" si="157"/>
        <v>9744.2946144258585</v>
      </c>
      <c r="BG94" s="961">
        <f t="shared" ca="1" si="157"/>
        <v>12614.37290036915</v>
      </c>
      <c r="BH94" s="239"/>
    </row>
    <row r="95" spans="1:60" customFormat="1" hidden="1" outlineLevel="1" x14ac:dyDescent="0.25">
      <c r="A95" s="250" t="s">
        <v>353</v>
      </c>
      <c r="B95" s="251"/>
      <c r="C95" s="961">
        <f>C94</f>
        <v>115.86000000000001</v>
      </c>
      <c r="D95" s="961">
        <f>D94</f>
        <v>160.85299999999995</v>
      </c>
      <c r="E95" s="961">
        <f>E94</f>
        <v>226.12600000000012</v>
      </c>
      <c r="F95" s="961">
        <f>F94</f>
        <v>17.152000000000189</v>
      </c>
      <c r="G95" s="962"/>
      <c r="H95" s="962"/>
      <c r="I95" s="962"/>
      <c r="J95" s="962">
        <f>SUM(J94,I94,H94,G94)</f>
        <v>128.37999999999928</v>
      </c>
      <c r="K95" s="961">
        <f>K94</f>
        <v>128.37999999999997</v>
      </c>
      <c r="L95" s="962">
        <f>SUM(L94,J94,I94,H94)</f>
        <v>162.82899999999916</v>
      </c>
      <c r="M95" s="962">
        <f>SUM(M94,L94,J94,I94)</f>
        <v>204.37599999999907</v>
      </c>
      <c r="N95" s="962">
        <f>SUM(N94,M94,L94,J94)</f>
        <v>231.84899999999902</v>
      </c>
      <c r="O95" s="962">
        <f>SUM(O94,N94,M94,L94)</f>
        <v>228.18699999999964</v>
      </c>
      <c r="P95" s="961">
        <f>P94</f>
        <v>228.1869999999997</v>
      </c>
      <c r="Q95" s="962">
        <f>SUM(Q94,O94,N94,M94)</f>
        <v>223.08099999999951</v>
      </c>
      <c r="R95" s="962">
        <f>SUM(R94,Q94,O94,N94)</f>
        <v>178.39799999999951</v>
      </c>
      <c r="S95" s="962">
        <f>SUM(S94,R94,Q94,O94)</f>
        <v>148.53499999999937</v>
      </c>
      <c r="T95" s="962">
        <f>SUM(T94,S94,R94,Q94)</f>
        <v>133.51600000000047</v>
      </c>
      <c r="U95" s="961">
        <f>U94</f>
        <v>133.5160000000007</v>
      </c>
      <c r="V95" s="962">
        <f>SUM(V94,T94,S94,R94)</f>
        <v>113.16500000000082</v>
      </c>
      <c r="W95" s="962">
        <f>SUM(W94,V94,T94,S94)</f>
        <v>127.58500000000106</v>
      </c>
      <c r="X95" s="962">
        <f>SUM(X94,W94,V94,T94)</f>
        <v>149.67000000000124</v>
      </c>
      <c r="Y95" s="962">
        <f>SUM(Y94,X94,W94,V94)</f>
        <v>186.67799999999977</v>
      </c>
      <c r="Z95" s="961">
        <f>Z94</f>
        <v>186.67799999999968</v>
      </c>
      <c r="AA95" s="962">
        <f>SUM(AA94,Y94,X94,W94)</f>
        <v>337.24199999999979</v>
      </c>
      <c r="AB95" s="962">
        <f>SUM(AB94,AA94,Y94,X94)</f>
        <v>362.08699999999959</v>
      </c>
      <c r="AC95" s="962">
        <f>SUM(AC94,AB94,AA94,Y94)</f>
        <v>440.15999999999934</v>
      </c>
      <c r="AD95" s="962">
        <f>SUM(AD94,AC94,AB94,AA94)</f>
        <v>558.92899999999986</v>
      </c>
      <c r="AE95" s="961">
        <f>AE94</f>
        <v>558.92899999999963</v>
      </c>
      <c r="AF95" s="962">
        <f>SUM(AF94,AD94,AC94,AB94)</f>
        <v>670.83099999999979</v>
      </c>
      <c r="AG95" s="962">
        <f>SUM(AG94,AF94,AD94,AC94)</f>
        <v>989.5799999999997</v>
      </c>
      <c r="AH95" s="962">
        <f>SUM(AH94,AG94,AF94,AD94)</f>
        <v>1262.8249999999996</v>
      </c>
      <c r="AI95" s="962">
        <f>SUM(AI94,AH94,AG94,AF94)</f>
        <v>1211.2419999999997</v>
      </c>
      <c r="AJ95" s="961">
        <f>AJ94</f>
        <v>1211.2419999999997</v>
      </c>
      <c r="AK95" s="962">
        <f>SUM(AK94,AI94,AH94,AG94)</f>
        <v>1265.1699999999998</v>
      </c>
      <c r="AL95" s="962">
        <f>SUM(AL94,AK94,AI94,AH94)</f>
        <v>1151.4709999999998</v>
      </c>
      <c r="AM95" s="962">
        <f>SUM(AM94,AL94,AK94,AI94)</f>
        <v>1413.88</v>
      </c>
      <c r="AN95" s="962">
        <f>SUM(AN94,AM94,AL94,AK94)</f>
        <v>1866.9160000000006</v>
      </c>
      <c r="AO95" s="961">
        <f>AO94</f>
        <v>1866.9160000000006</v>
      </c>
      <c r="AP95" s="962">
        <f>SUM(AP94,AN94,AM94,AL94)</f>
        <v>2231.931</v>
      </c>
      <c r="AQ95" s="962">
        <f>SUM(AQ94,AP94,AN94,AM94)</f>
        <v>2681.4770000000008</v>
      </c>
      <c r="AR95" s="962">
        <f>SUM(AR94,AQ94,AP94,AN94)</f>
        <v>2806.2089999999998</v>
      </c>
      <c r="AS95" s="962">
        <f>SUM(AS94,AR94,AQ94,AP94)</f>
        <v>2761.3950000000032</v>
      </c>
      <c r="AT95" s="961">
        <f>AT94</f>
        <v>2761.3950000000004</v>
      </c>
      <c r="AU95" s="962">
        <f>SUM(AU94,AS94,AR94,AQ94)</f>
        <v>3759.0430000000033</v>
      </c>
      <c r="AV95" s="962">
        <f>SUM(AV94,AU94,AS94,AR94)</f>
        <v>4391.8600000000033</v>
      </c>
      <c r="AW95" s="963">
        <f>SUM(AW94,AV94,AU94,AS94)</f>
        <v>5050.9550000000036</v>
      </c>
      <c r="AX95" s="962">
        <f>SUM(AX94,AW94,AV94,AU94)</f>
        <v>4859.1500793035884</v>
      </c>
      <c r="AY95" s="961">
        <f>AY94</f>
        <v>4859.1500793035902</v>
      </c>
      <c r="AZ95" s="962">
        <f ca="1">SUM(AZ94,AX94,AW94,AV94)</f>
        <v>4790.4214923653644</v>
      </c>
      <c r="BA95" s="962">
        <f ca="1">SUM(BA94,AZ94,AX94,AW94)</f>
        <v>5038.5776879665855</v>
      </c>
      <c r="BB95" s="962">
        <f ca="1">SUM(BB94,BA94,AZ94,AX94)</f>
        <v>5196.6709572936225</v>
      </c>
      <c r="BC95" s="962">
        <f ca="1">SUM(BC94,BB94,BA94,AZ94)</f>
        <v>5910.7056388972251</v>
      </c>
      <c r="BD95" s="961">
        <f ca="1">BD94</f>
        <v>5910.7056388972242</v>
      </c>
      <c r="BE95" s="961">
        <f ca="1">BE94</f>
        <v>7696.1873227945907</v>
      </c>
      <c r="BF95" s="961">
        <f ca="1">BF94</f>
        <v>9744.2946144258585</v>
      </c>
      <c r="BG95" s="961">
        <f ca="1">BG94</f>
        <v>12614.37290036915</v>
      </c>
      <c r="BH95" s="239"/>
    </row>
    <row r="96" spans="1:60" customFormat="1" hidden="1" outlineLevel="1" x14ac:dyDescent="0.25">
      <c r="A96" s="250" t="s">
        <v>354</v>
      </c>
      <c r="B96" s="251"/>
      <c r="C96" s="961">
        <f t="shared" ref="C96:AH96" si="158">INDEX(MO_BS_SE,0,COLUMN())</f>
        <v>199.143</v>
      </c>
      <c r="D96" s="961">
        <f t="shared" si="158"/>
        <v>290.16399999999999</v>
      </c>
      <c r="E96" s="961">
        <f t="shared" si="158"/>
        <v>642.80999999999995</v>
      </c>
      <c r="F96" s="961">
        <f t="shared" si="158"/>
        <v>744.673</v>
      </c>
      <c r="G96" s="962">
        <f t="shared" si="158"/>
        <v>812.91899999999998</v>
      </c>
      <c r="H96" s="962">
        <f t="shared" si="158"/>
        <v>1105.6220000000001</v>
      </c>
      <c r="I96" s="962">
        <f t="shared" si="158"/>
        <v>1204.3700000000001</v>
      </c>
      <c r="J96" s="962">
        <f t="shared" si="158"/>
        <v>1333.5610000000001</v>
      </c>
      <c r="K96" s="961">
        <f t="shared" si="158"/>
        <v>1333.5610000000001</v>
      </c>
      <c r="L96" s="962">
        <f t="shared" si="158"/>
        <v>1478.3580000000002</v>
      </c>
      <c r="M96" s="962">
        <f t="shared" si="158"/>
        <v>1609.7049999999999</v>
      </c>
      <c r="N96" s="962">
        <f t="shared" si="158"/>
        <v>1724.8739999999998</v>
      </c>
      <c r="O96" s="962">
        <f t="shared" si="158"/>
        <v>1857.7080000000001</v>
      </c>
      <c r="P96" s="961">
        <f t="shared" si="158"/>
        <v>1857.7080000000001</v>
      </c>
      <c r="Q96" s="962">
        <f t="shared" si="158"/>
        <v>1909.2139999999999</v>
      </c>
      <c r="R96" s="962">
        <f t="shared" si="158"/>
        <v>2032.0750000000003</v>
      </c>
      <c r="S96" s="962">
        <f t="shared" si="158"/>
        <v>2167.3179999999998</v>
      </c>
      <c r="T96" s="962">
        <f t="shared" si="158"/>
        <v>2223.4259999999999</v>
      </c>
      <c r="U96" s="961">
        <f t="shared" si="158"/>
        <v>2223.4259999999999</v>
      </c>
      <c r="V96" s="962">
        <f t="shared" si="158"/>
        <v>2317.2329999999997</v>
      </c>
      <c r="W96" s="962">
        <f t="shared" si="158"/>
        <v>2415.8339999999998</v>
      </c>
      <c r="X96" s="962">
        <f t="shared" si="158"/>
        <v>2528.9660000000003</v>
      </c>
      <c r="Y96" s="962">
        <f t="shared" si="158"/>
        <v>2679.8</v>
      </c>
      <c r="Z96" s="961">
        <f t="shared" si="158"/>
        <v>2679.8</v>
      </c>
      <c r="AA96" s="962">
        <f t="shared" si="158"/>
        <v>2973.683</v>
      </c>
      <c r="AB96" s="962">
        <f t="shared" si="158"/>
        <v>3112.5</v>
      </c>
      <c r="AC96" s="962">
        <f t="shared" si="158"/>
        <v>3327.3609999999999</v>
      </c>
      <c r="AD96" s="962">
        <f t="shared" si="158"/>
        <v>3581.9560000000001</v>
      </c>
      <c r="AE96" s="961">
        <f t="shared" si="158"/>
        <v>3581.9560000000001</v>
      </c>
      <c r="AF96" s="962">
        <f t="shared" si="158"/>
        <v>4020.7299999999996</v>
      </c>
      <c r="AG96" s="962">
        <f t="shared" si="158"/>
        <v>4496.6000000000004</v>
      </c>
      <c r="AH96" s="962">
        <f t="shared" si="158"/>
        <v>5009.6530000000002</v>
      </c>
      <c r="AI96" s="962">
        <f t="shared" ref="AI96:AY96" si="159">INDEX(MO_BS_SE,0,COLUMN())</f>
        <v>5238.7649999999994</v>
      </c>
      <c r="AJ96" s="961">
        <f t="shared" si="159"/>
        <v>5238.7649999999994</v>
      </c>
      <c r="AK96" s="962">
        <f t="shared" si="159"/>
        <v>5703.0580000000009</v>
      </c>
      <c r="AL96" s="962">
        <f t="shared" si="159"/>
        <v>6105.5479999999998</v>
      </c>
      <c r="AM96" s="962">
        <f t="shared" si="159"/>
        <v>6861.505000000001</v>
      </c>
      <c r="AN96" s="962">
        <f t="shared" si="159"/>
        <v>7582.1569999999992</v>
      </c>
      <c r="AO96" s="961">
        <f t="shared" si="159"/>
        <v>7582.1569999999992</v>
      </c>
      <c r="AP96" s="962">
        <f t="shared" si="159"/>
        <v>8409.2939999999999</v>
      </c>
      <c r="AQ96" s="962">
        <f t="shared" si="159"/>
        <v>9334.7530000000006</v>
      </c>
      <c r="AR96" s="962">
        <f>INDEX(MO_BS_SE,0,COLUMN())</f>
        <v>10333.323</v>
      </c>
      <c r="AS96" s="962">
        <f>INDEX(MO_BS_SE,0,COLUMN())</f>
        <v>11065.24</v>
      </c>
      <c r="AT96" s="961">
        <f>INDEX(MO_BS_SE,0,COLUMN())</f>
        <v>11065.24</v>
      </c>
      <c r="AU96" s="962">
        <f t="shared" si="159"/>
        <v>12884.08</v>
      </c>
      <c r="AV96" s="962">
        <f>INDEX(MO_BS_SE,0,COLUMN())</f>
        <v>13863.870999999999</v>
      </c>
      <c r="AW96" s="963">
        <f>INDEX(MO_BS_SE,0,COLUMN())</f>
        <v>15314.616999999998</v>
      </c>
      <c r="AX96" s="962">
        <f t="shared" ca="1" si="159"/>
        <v>15765.37122165562</v>
      </c>
      <c r="AY96" s="961">
        <f t="shared" ca="1" si="159"/>
        <v>15765.37122165562</v>
      </c>
      <c r="AZ96" s="962">
        <f t="shared" ref="AZ96:BG96" ca="1" si="160">INDEX(MO_BS_SE,0,COLUMN())</f>
        <v>17507.330292267601</v>
      </c>
      <c r="BA96" s="962">
        <f t="shared" ca="1" si="160"/>
        <v>19215.449045408448</v>
      </c>
      <c r="BB96" s="962">
        <f t="shared" ca="1" si="160"/>
        <v>20932.649619352829</v>
      </c>
      <c r="BC96" s="962">
        <f t="shared" ca="1" si="160"/>
        <v>22110.348288564313</v>
      </c>
      <c r="BD96" s="961">
        <f t="shared" ca="1" si="160"/>
        <v>22110.348288564313</v>
      </c>
      <c r="BE96" s="961">
        <f t="shared" ca="1" si="160"/>
        <v>30296.644749570998</v>
      </c>
      <c r="BF96" s="961">
        <f t="shared" ca="1" si="160"/>
        <v>40598.81793339357</v>
      </c>
      <c r="BG96" s="961">
        <f t="shared" ca="1" si="160"/>
        <v>53849.671803715974</v>
      </c>
      <c r="BH96" s="239"/>
    </row>
    <row r="97" spans="1:60" customFormat="1" hidden="1" outlineLevel="1" x14ac:dyDescent="0.25">
      <c r="A97" s="250" t="s">
        <v>355</v>
      </c>
      <c r="B97" s="251"/>
      <c r="C97" s="961">
        <f>C96</f>
        <v>199.143</v>
      </c>
      <c r="D97" s="961">
        <f>AVERAGE(D96,C96)</f>
        <v>244.65350000000001</v>
      </c>
      <c r="E97" s="961">
        <f>AVERAGE(E96,D96)</f>
        <v>466.48699999999997</v>
      </c>
      <c r="F97" s="961">
        <f>AVERAGE(F96,E96)</f>
        <v>693.74149999999997</v>
      </c>
      <c r="G97" s="962"/>
      <c r="H97" s="962"/>
      <c r="I97" s="962"/>
      <c r="J97" s="962">
        <f>AVERAGE(J96,I96,H96,G96)</f>
        <v>1114.1180000000002</v>
      </c>
      <c r="K97" s="961">
        <f>AVERAGE(K96,F96)</f>
        <v>1039.1170000000002</v>
      </c>
      <c r="L97" s="962">
        <f>AVERAGE(L96,J96,I96,H96)</f>
        <v>1280.4777500000002</v>
      </c>
      <c r="M97" s="962">
        <f>AVERAGE(M96,L96,J96,I96)</f>
        <v>1406.4984999999999</v>
      </c>
      <c r="N97" s="962">
        <f>AVERAGE(N96,M96,L96,J96)</f>
        <v>1536.6244999999999</v>
      </c>
      <c r="O97" s="962">
        <f>AVERAGE(O96,N96,M96,L96)</f>
        <v>1667.6612500000001</v>
      </c>
      <c r="P97" s="961">
        <f>AVERAGE(P96,K96)</f>
        <v>1595.6345000000001</v>
      </c>
      <c r="Q97" s="962">
        <f>AVERAGE(Q96,O96,N96,M96)</f>
        <v>1775.3752500000001</v>
      </c>
      <c r="R97" s="962">
        <f>AVERAGE(R96,Q96,O96,N96)</f>
        <v>1880.96775</v>
      </c>
      <c r="S97" s="962">
        <f>AVERAGE(S96,R96,Q96,O96)</f>
        <v>1991.5787500000001</v>
      </c>
      <c r="T97" s="962">
        <f>AVERAGE(T96,S96,R96,Q96)</f>
        <v>2083.0082499999999</v>
      </c>
      <c r="U97" s="961">
        <f>AVERAGE(U96,P96)</f>
        <v>2040.567</v>
      </c>
      <c r="V97" s="962">
        <f>AVERAGE(V96,T96,S96,R96)</f>
        <v>2185.0129999999999</v>
      </c>
      <c r="W97" s="962">
        <f>AVERAGE(W96,V96,T96,S96)</f>
        <v>2280.9527499999995</v>
      </c>
      <c r="X97" s="962">
        <f>AVERAGE(X96,W96,V96,T96)</f>
        <v>2371.3647499999997</v>
      </c>
      <c r="Y97" s="962">
        <f>AVERAGE(Y96,X96,W96,V96)</f>
        <v>2485.4582500000001</v>
      </c>
      <c r="Z97" s="961">
        <f>AVERAGE(Z96,U96)</f>
        <v>2451.6130000000003</v>
      </c>
      <c r="AA97" s="962">
        <f>AVERAGE(AA96,Y96,X96,W96)</f>
        <v>2649.5707499999999</v>
      </c>
      <c r="AB97" s="962">
        <f>AVERAGE(AB96,AA96,Y96,X96)</f>
        <v>2823.7372500000001</v>
      </c>
      <c r="AC97" s="962">
        <f>AVERAGE(AC96,AB96,AA96,Y96)</f>
        <v>3023.3360000000002</v>
      </c>
      <c r="AD97" s="962">
        <f>AVERAGE(AD96,AC96,AB96,AA96)</f>
        <v>3248.875</v>
      </c>
      <c r="AE97" s="961">
        <f>AVERAGE(AE96,Z96)</f>
        <v>3130.8780000000002</v>
      </c>
      <c r="AF97" s="962">
        <f>AVERAGE(AF96,AD96,AC96,AB96)</f>
        <v>3510.6367499999997</v>
      </c>
      <c r="AG97" s="962">
        <f>AVERAGE(AG96,AF96,AD96,AC96)</f>
        <v>3856.6617500000002</v>
      </c>
      <c r="AH97" s="962">
        <f>AVERAGE(AH96,AG96,AF96,AD96)</f>
        <v>4277.2347499999996</v>
      </c>
      <c r="AI97" s="962">
        <f>AVERAGE(AI96,AH96,AG96,AF96)</f>
        <v>4691.4369999999999</v>
      </c>
      <c r="AJ97" s="961">
        <f>AVERAGE(AJ96,AE96)</f>
        <v>4410.3604999999998</v>
      </c>
      <c r="AK97" s="962">
        <f>AVERAGE(AK96,AI96,AH96,AG96)</f>
        <v>5112.0190000000002</v>
      </c>
      <c r="AL97" s="962">
        <f>AVERAGE(AL96,AK96,AI96,AH96)</f>
        <v>5514.2559999999994</v>
      </c>
      <c r="AM97" s="962">
        <f>AVERAGE(AM96,AL96,AK96,AI96)</f>
        <v>5977.2190000000001</v>
      </c>
      <c r="AN97" s="962">
        <f>AVERAGE(AN96,AM96,AL96,AK96)</f>
        <v>6563.067</v>
      </c>
      <c r="AO97" s="961">
        <f>AVERAGE(AO96,AJ96)</f>
        <v>6410.4609999999993</v>
      </c>
      <c r="AP97" s="962">
        <f>AVERAGE(AP96,AN96,AM96,AL96)</f>
        <v>7239.6259999999993</v>
      </c>
      <c r="AQ97" s="962">
        <f>AVERAGE(AQ96,AP96,AN96,AM96)</f>
        <v>8046.9272499999997</v>
      </c>
      <c r="AR97" s="962">
        <f>AVERAGE(AR96,AQ96,AP96,AN96)</f>
        <v>8914.8817500000005</v>
      </c>
      <c r="AS97" s="962">
        <f>AVERAGE(AS96,AR96,AQ96,AP96)</f>
        <v>9785.6525000000001</v>
      </c>
      <c r="AT97" s="961">
        <f>AVERAGE(AT96,AO96)</f>
        <v>9323.6984999999986</v>
      </c>
      <c r="AU97" s="962">
        <f>AVERAGE(AU96,AS96,AR96,AQ96)</f>
        <v>10904.348999999998</v>
      </c>
      <c r="AV97" s="962">
        <f>AVERAGE(AV96,AU96,AS96,AR96)</f>
        <v>12036.628499999999</v>
      </c>
      <c r="AW97" s="963">
        <f>AVERAGE(AW96,AV96,AU96,AS96)</f>
        <v>13281.951999999999</v>
      </c>
      <c r="AX97" s="962">
        <f ca="1">AVERAGE(AX96,AW96,AV96,AU96)</f>
        <v>14456.984805413904</v>
      </c>
      <c r="AY97" s="961">
        <f ca="1">AVERAGE(AY96,AT96)</f>
        <v>13415.305610827811</v>
      </c>
      <c r="AZ97" s="962">
        <f ca="1">AVERAGE(AZ96,AX96,AW96,AV96)</f>
        <v>15612.797378480805</v>
      </c>
      <c r="BA97" s="962">
        <f ca="1">AVERAGE(BA96,AZ96,AX96,AW96)</f>
        <v>16950.691889832917</v>
      </c>
      <c r="BB97" s="962">
        <f ca="1">AVERAGE(BB96,BA96,AZ96,AX96)</f>
        <v>18355.200044671124</v>
      </c>
      <c r="BC97" s="962">
        <f ca="1">AVERAGE(BC96,BB96,BA96,AZ96)</f>
        <v>19941.4443113983</v>
      </c>
      <c r="BD97" s="961">
        <f ca="1">AVERAGE(BD96,AY96)</f>
        <v>18937.859755109966</v>
      </c>
      <c r="BE97" s="961">
        <f ca="1">AVERAGE(BE96,BD96)</f>
        <v>26203.496519067656</v>
      </c>
      <c r="BF97" s="961">
        <f ca="1">AVERAGE(BF96,BE96)</f>
        <v>35447.731341482286</v>
      </c>
      <c r="BG97" s="961">
        <f ca="1">AVERAGE(BG96,BF96)</f>
        <v>47224.244868554772</v>
      </c>
      <c r="BH97" s="239"/>
    </row>
    <row r="98" spans="1:60" customFormat="1" collapsed="1" x14ac:dyDescent="0.25">
      <c r="A98" s="260" t="s">
        <v>356</v>
      </c>
      <c r="B98" s="160"/>
      <c r="C98" s="127">
        <f>IF(C97&lt;0,"NMF",IF(ABS(C95/C97)&gt;1,"NMF",C95/C97))</f>
        <v>0.5817929829318631</v>
      </c>
      <c r="D98" s="127">
        <f>IF(D97&lt;0,"NMF",IF(ABS(D95/D97)&gt;1,"NMF",D95/D97))</f>
        <v>0.65747271140613128</v>
      </c>
      <c r="E98" s="127">
        <f>IF(E97&lt;0,"NMF",IF(ABS(E95/E97)&gt;1,"NMF",E95/E97))</f>
        <v>0.48474234008664796</v>
      </c>
      <c r="F98" s="127">
        <f>IF(F97&lt;0,"NMF",IF(ABS(F95/F97)&gt;1,"NMF",F95/F97))</f>
        <v>2.4723906527143309E-2</v>
      </c>
      <c r="G98" s="128"/>
      <c r="H98" s="128"/>
      <c r="I98" s="128"/>
      <c r="J98" s="128"/>
      <c r="K98" s="127">
        <f t="shared" ref="K98:AY98" si="161">IF(K97&lt;0,"NMF",IF(ABS(K95/K97)&gt;1,"NMF",K95/K97))</f>
        <v>0.12354720402033645</v>
      </c>
      <c r="L98" s="128">
        <f t="shared" si="161"/>
        <v>0.12716269376800896</v>
      </c>
      <c r="M98" s="128">
        <f t="shared" si="161"/>
        <v>0.14530836684148549</v>
      </c>
      <c r="N98" s="128">
        <f t="shared" si="161"/>
        <v>0.15088201444139349</v>
      </c>
      <c r="O98" s="128">
        <f t="shared" si="161"/>
        <v>0.13683054637145262</v>
      </c>
      <c r="P98" s="127">
        <f t="shared" si="161"/>
        <v>0.1430070608275264</v>
      </c>
      <c r="Q98" s="128">
        <f t="shared" si="161"/>
        <v>0.12565287254060767</v>
      </c>
      <c r="R98" s="128">
        <f t="shared" si="161"/>
        <v>9.4843731371789614E-2</v>
      </c>
      <c r="S98" s="128">
        <f t="shared" si="161"/>
        <v>7.458153487528392E-2</v>
      </c>
      <c r="T98" s="128">
        <f t="shared" si="161"/>
        <v>6.4097681802268658E-2</v>
      </c>
      <c r="U98" s="127">
        <f t="shared" si="161"/>
        <v>6.5430833684951631E-2</v>
      </c>
      <c r="V98" s="128">
        <f t="shared" si="161"/>
        <v>5.1791453872357202E-2</v>
      </c>
      <c r="W98" s="128">
        <f t="shared" si="161"/>
        <v>5.5934959634740829E-2</v>
      </c>
      <c r="X98" s="128">
        <f t="shared" si="161"/>
        <v>6.3115554028540424E-2</v>
      </c>
      <c r="Y98" s="128">
        <f t="shared" si="161"/>
        <v>7.5108081175775041E-2</v>
      </c>
      <c r="Z98" s="127">
        <f t="shared" si="161"/>
        <v>7.6144970678487855E-2</v>
      </c>
      <c r="AA98" s="128">
        <f t="shared" si="161"/>
        <v>0.12728174931731859</v>
      </c>
      <c r="AB98" s="128">
        <f t="shared" si="161"/>
        <v>0.12822970692475003</v>
      </c>
      <c r="AC98" s="128">
        <f t="shared" si="161"/>
        <v>0.14558752318630788</v>
      </c>
      <c r="AD98" s="128">
        <f t="shared" si="161"/>
        <v>0.17203770535954749</v>
      </c>
      <c r="AE98" s="127">
        <f t="shared" si="161"/>
        <v>0.17852148822151473</v>
      </c>
      <c r="AF98" s="128">
        <f t="shared" si="161"/>
        <v>0.1910852781906302</v>
      </c>
      <c r="AG98" s="128">
        <f t="shared" si="161"/>
        <v>0.25658978260149456</v>
      </c>
      <c r="AH98" s="128">
        <f t="shared" si="161"/>
        <v>0.29524332280336019</v>
      </c>
      <c r="AI98" s="128">
        <f t="shared" si="161"/>
        <v>0.25818144845598473</v>
      </c>
      <c r="AJ98" s="127">
        <f t="shared" si="161"/>
        <v>0.2746355995161846</v>
      </c>
      <c r="AK98" s="128">
        <f t="shared" si="161"/>
        <v>0.24748929923773752</v>
      </c>
      <c r="AL98" s="128">
        <f t="shared" si="161"/>
        <v>0.2088171096880522</v>
      </c>
      <c r="AM98" s="128">
        <f t="shared" si="161"/>
        <v>0.2365447878018189</v>
      </c>
      <c r="AN98" s="128">
        <f t="shared" si="161"/>
        <v>0.2844578609360533</v>
      </c>
      <c r="AO98" s="127">
        <f t="shared" si="161"/>
        <v>0.2912296011160509</v>
      </c>
      <c r="AP98" s="128">
        <f t="shared" si="161"/>
        <v>0.30829368809935764</v>
      </c>
      <c r="AQ98" s="128">
        <f t="shared" si="161"/>
        <v>0.33322992947401142</v>
      </c>
      <c r="AR98" s="128">
        <f>IF(AR97&lt;0,"NMF",IF(ABS(AR95/AR97)&gt;1,"NMF",AR95/AR97))</f>
        <v>0.31477803954045713</v>
      </c>
      <c r="AS98" s="128">
        <f>IF(AS97&lt;0,"NMF",IF(ABS(AS95/AS97)&gt;1,"NMF",AS95/AS97))</f>
        <v>0.28218813206375387</v>
      </c>
      <c r="AT98" s="127">
        <f>IF(AT97&lt;0,"NMF",IF(ABS(AT95/AT97)&gt;1,"NMF",AT95/AT97))</f>
        <v>0.29616948681899152</v>
      </c>
      <c r="AU98" s="128">
        <f t="shared" ref="AU98" si="162">IF(AU97&lt;0,"NMF",IF(ABS(AU95/AU97)&gt;1,"NMF",AU95/AU97))</f>
        <v>0.34472878665200496</v>
      </c>
      <c r="AV98" s="128">
        <f>IF(AV97&lt;0,"NMF",IF(ABS(AV95/AV97)&gt;1,"NMF",AV95/AV97))</f>
        <v>0.36487459922851351</v>
      </c>
      <c r="AW98" s="623">
        <f>IF(AW97&lt;0,"NMF",IF(ABS(AW95/AW97)&gt;1,"NMF",AW95/AW97))</f>
        <v>0.38028709936611754</v>
      </c>
      <c r="AX98" s="128">
        <f t="shared" ca="1" si="161"/>
        <v>0.33611089343359596</v>
      </c>
      <c r="AY98" s="127">
        <f t="shared" ca="1" si="161"/>
        <v>0.36220942110939724</v>
      </c>
      <c r="AZ98" s="128">
        <f t="shared" ref="AZ98:BG98" ca="1" si="163">IF(AZ97&lt;0,"NMF",IF(ABS(AZ95/AZ97)&gt;1,"NMF",AZ95/AZ97))</f>
        <v>0.30682659719699085</v>
      </c>
      <c r="BA98" s="128">
        <f t="shared" ca="1" si="163"/>
        <v>0.29724908698203295</v>
      </c>
      <c r="BB98" s="128">
        <f t="shared" ca="1" si="163"/>
        <v>0.28311709731555434</v>
      </c>
      <c r="BC98" s="128">
        <f t="shared" ca="1" si="163"/>
        <v>0.29640308628591833</v>
      </c>
      <c r="BD98" s="127">
        <f t="shared" ca="1" si="163"/>
        <v>0.3121105402262972</v>
      </c>
      <c r="BE98" s="127">
        <f t="shared" ca="1" si="163"/>
        <v>0.29370841090593613</v>
      </c>
      <c r="BF98" s="127">
        <f t="shared" ca="1" si="163"/>
        <v>0.27489191115096029</v>
      </c>
      <c r="BG98" s="127">
        <f t="shared" ca="1" si="163"/>
        <v>0.26711645544529794</v>
      </c>
      <c r="BH98" s="372"/>
    </row>
    <row r="99" spans="1:60" customFormat="1" hidden="1" outlineLevel="1" x14ac:dyDescent="0.25">
      <c r="A99" s="250" t="s">
        <v>357</v>
      </c>
      <c r="B99" s="251"/>
      <c r="C99" s="961">
        <f t="shared" ref="C99:AH99" si="164">INDEX(SP_GF_NI,0,COLUMN())+INDEX(SP_GF_IE,0,COLUMN())*(1-INDEX(SP_GF_Tax,0,COLUMN())/INDEX(SP_GF_EBT,0,COLUMN()))+INDEX(SP_GF_NCI,0,COLUMN())</f>
        <v>119.763354458042</v>
      </c>
      <c r="D99" s="961">
        <f t="shared" si="164"/>
        <v>172.64766087278107</v>
      </c>
      <c r="E99" s="961">
        <f t="shared" si="164"/>
        <v>238.72098208732723</v>
      </c>
      <c r="F99" s="961">
        <f t="shared" si="164"/>
        <v>28.398714960630059</v>
      </c>
      <c r="G99" s="962">
        <f t="shared" si="164"/>
        <v>22.177021505376075</v>
      </c>
      <c r="H99" s="962">
        <f t="shared" si="164"/>
        <v>34.22689375978058</v>
      </c>
      <c r="I99" s="962">
        <f t="shared" si="164"/>
        <v>36.603240872077791</v>
      </c>
      <c r="J99" s="962">
        <f t="shared" si="164"/>
        <v>53.287701772876233</v>
      </c>
      <c r="K99" s="961">
        <f t="shared" si="164"/>
        <v>131.55055150402742</v>
      </c>
      <c r="L99" s="962">
        <f t="shared" si="164"/>
        <v>59.117788046411107</v>
      </c>
      <c r="M99" s="962">
        <f t="shared" si="164"/>
        <v>79.082341614695082</v>
      </c>
      <c r="N99" s="962">
        <f t="shared" si="164"/>
        <v>67.493451561971384</v>
      </c>
      <c r="O99" s="962">
        <f t="shared" si="164"/>
        <v>107.82949729765338</v>
      </c>
      <c r="P99" s="961">
        <f t="shared" si="164"/>
        <v>305.1492227759187</v>
      </c>
      <c r="Q99" s="962">
        <f t="shared" si="164"/>
        <v>40.183793473169018</v>
      </c>
      <c r="R99" s="962">
        <f t="shared" si="164"/>
        <v>49.240401210175328</v>
      </c>
      <c r="S99" s="962">
        <f t="shared" si="164"/>
        <v>54.052504190539246</v>
      </c>
      <c r="T99" s="962">
        <f t="shared" si="164"/>
        <v>116.96862090588914</v>
      </c>
      <c r="U99" s="961">
        <f t="shared" si="164"/>
        <v>237.35660035239894</v>
      </c>
      <c r="V99" s="962">
        <f t="shared" si="164"/>
        <v>52.304614659344757</v>
      </c>
      <c r="W99" s="962">
        <f t="shared" si="164"/>
        <v>68.9594137453157</v>
      </c>
      <c r="X99" s="962">
        <f t="shared" si="164"/>
        <v>74.653326563625683</v>
      </c>
      <c r="Y99" s="962">
        <f t="shared" si="164"/>
        <v>98.976985897705035</v>
      </c>
      <c r="Z99" s="961">
        <f t="shared" si="164"/>
        <v>294.24893395570882</v>
      </c>
      <c r="AA99" s="962">
        <f t="shared" si="164"/>
        <v>215.44608631229025</v>
      </c>
      <c r="AB99" s="962">
        <f t="shared" si="164"/>
        <v>326.28036097980259</v>
      </c>
      <c r="AC99" s="962">
        <f t="shared" si="164"/>
        <v>197.2496773832772</v>
      </c>
      <c r="AD99" s="962">
        <f t="shared" si="164"/>
        <v>291.87461793954139</v>
      </c>
      <c r="AE99" s="961">
        <f t="shared" si="164"/>
        <v>833.26108848576473</v>
      </c>
      <c r="AF99" s="962">
        <f t="shared" si="164"/>
        <v>368.76993731976938</v>
      </c>
      <c r="AG99" s="962">
        <f t="shared" si="164"/>
        <v>475.45609353624053</v>
      </c>
      <c r="AH99" s="962">
        <f t="shared" si="164"/>
        <v>518.60127800216446</v>
      </c>
      <c r="AI99" s="962">
        <f t="shared" ref="AI99:AY99" si="165">INDEX(SP_GF_NI,0,COLUMN())+INDEX(SP_GF_IE,0,COLUMN())*(1-INDEX(SP_GF_Tax,0,COLUMN())/INDEX(SP_GF_EBT,0,COLUMN()))+INDEX(SP_GF_NCI,0,COLUMN())</f>
        <v>278.42491039900835</v>
      </c>
      <c r="AJ99" s="961">
        <f t="shared" si="165"/>
        <v>1626.5181711416124</v>
      </c>
      <c r="AK99" s="962">
        <f t="shared" si="165"/>
        <v>460.7240216684724</v>
      </c>
      <c r="AL99" s="962">
        <f t="shared" si="165"/>
        <v>352.79497330889797</v>
      </c>
      <c r="AM99" s="962">
        <f t="shared" si="165"/>
        <v>770.82107474788177</v>
      </c>
      <c r="AN99" s="962">
        <f t="shared" si="165"/>
        <v>1285.8366468228717</v>
      </c>
      <c r="AO99" s="961">
        <f t="shared" si="165"/>
        <v>2433.6480271434193</v>
      </c>
      <c r="AP99" s="962">
        <f t="shared" si="165"/>
        <v>873.07265489464351</v>
      </c>
      <c r="AQ99" s="962">
        <f t="shared" si="165"/>
        <v>851.73861347119873</v>
      </c>
      <c r="AR99" s="962">
        <f>INDEX(SP_GF_NI,0,COLUMN())+INDEX(SP_GF_IE,0,COLUMN())*(1-INDEX(SP_GF_Tax,0,COLUMN())/INDEX(SP_GF_EBT,0,COLUMN()))+INDEX(SP_GF_NCI,0,COLUMN())</f>
        <v>970.7013733243557</v>
      </c>
      <c r="AS99" s="962">
        <f>INDEX(SP_GF_NI,0,COLUMN())+INDEX(SP_GF_IE,0,COLUMN())*(1-INDEX(SP_GF_Tax,0,COLUMN())/INDEX(SP_GF_EBT,0,COLUMN()))+INDEX(SP_GF_NCI,0,COLUMN())</f>
        <v>753.25786470043829</v>
      </c>
      <c r="AT99" s="961">
        <f>INDEX(SP_GF_NI,0,COLUMN())+INDEX(SP_GF_IE,0,COLUMN())*(1-INDEX(SP_GF_Tax,0,COLUMN())/INDEX(SP_GF_EBT,0,COLUMN()))+INDEX(SP_GF_NCI,0,COLUMN())</f>
        <v>3423.832233670038</v>
      </c>
      <c r="AU99" s="962">
        <f t="shared" si="165"/>
        <v>1869.8279704468225</v>
      </c>
      <c r="AV99" s="962">
        <f>INDEX(SP_GF_NI,0,COLUMN())+INDEX(SP_GF_IE,0,COLUMN())*(1-INDEX(SP_GF_Tax,0,COLUMN())/INDEX(SP_GF_EBT,0,COLUMN()))+INDEX(SP_GF_NCI,0,COLUMN())</f>
        <v>1515.4317098706294</v>
      </c>
      <c r="AW99" s="963">
        <f>INDEX(SP_GF_NI,0,COLUMN())+INDEX(SP_GF_IE,0,COLUMN())*(1-INDEX(SP_GF_Tax,0,COLUMN())/INDEX(SP_GF_EBT,0,COLUMN()))+INDEX(SP_GF_NCI,0,COLUMN())</f>
        <v>1615.207034338596</v>
      </c>
      <c r="AX99" s="962">
        <f t="shared" si="165"/>
        <v>517.3526905421636</v>
      </c>
      <c r="AY99" s="961">
        <f t="shared" si="165"/>
        <v>5501.6160402283895</v>
      </c>
      <c r="AZ99" s="962">
        <f t="shared" ref="AZ99:BG99" ca="1" si="166">INDEX(SP_GF_NI,0,COLUMN())+INDEX(SP_GF_IE,0,COLUMN())*(1-INDEX(SP_GF_Tax,0,COLUMN())/INDEX(SP_GF_EBT,0,COLUMN()))+INDEX(SP_GF_NCI,0,COLUMN())</f>
        <v>1772.157689692656</v>
      </c>
      <c r="BA99" s="962">
        <f t="shared" ca="1" si="166"/>
        <v>1734.7712409236444</v>
      </c>
      <c r="BB99" s="962">
        <f t="shared" ca="1" si="166"/>
        <v>1740.2925984946255</v>
      </c>
      <c r="BC99" s="962">
        <f t="shared" ca="1" si="166"/>
        <v>1194.2438777550569</v>
      </c>
      <c r="BD99" s="961">
        <f t="shared" ca="1" si="166"/>
        <v>6441.465406865982</v>
      </c>
      <c r="BE99" s="961">
        <f t="shared" ca="1" si="166"/>
        <v>8202.4833557719176</v>
      </c>
      <c r="BF99" s="961">
        <f t="shared" ca="1" si="166"/>
        <v>10190.941099426747</v>
      </c>
      <c r="BG99" s="961">
        <f t="shared" ca="1" si="166"/>
        <v>12974.246167837</v>
      </c>
      <c r="BH99" s="239"/>
    </row>
    <row r="100" spans="1:60" customFormat="1" hidden="1" outlineLevel="1" x14ac:dyDescent="0.25">
      <c r="A100" s="250" t="s">
        <v>358</v>
      </c>
      <c r="B100" s="251"/>
      <c r="C100" s="961">
        <f>C99</f>
        <v>119.763354458042</v>
      </c>
      <c r="D100" s="961">
        <f>D99</f>
        <v>172.64766087278107</v>
      </c>
      <c r="E100" s="961">
        <f>E99</f>
        <v>238.72098208732723</v>
      </c>
      <c r="F100" s="961">
        <f>F99</f>
        <v>28.398714960630059</v>
      </c>
      <c r="G100" s="962"/>
      <c r="H100" s="962"/>
      <c r="I100" s="962"/>
      <c r="J100" s="962">
        <f>SUM(J99,I99,H99,G99)</f>
        <v>146.29485791011069</v>
      </c>
      <c r="K100" s="961">
        <f>K99</f>
        <v>131.55055150402742</v>
      </c>
      <c r="L100" s="962">
        <f>SUM(L99,J99,I99,H99)</f>
        <v>183.23562445114572</v>
      </c>
      <c r="M100" s="962">
        <f>SUM(M99,L99,J99,I99)</f>
        <v>228.0910723060602</v>
      </c>
      <c r="N100" s="962">
        <f>SUM(N99,M99,L99,J99)</f>
        <v>258.98128299595385</v>
      </c>
      <c r="O100" s="962">
        <f>SUM(O99,N99,M99,L99)</f>
        <v>313.52307852073096</v>
      </c>
      <c r="P100" s="961">
        <f>P99</f>
        <v>305.1492227759187</v>
      </c>
      <c r="Q100" s="962">
        <f>SUM(Q99,O99,N99,M99)</f>
        <v>294.5890839474888</v>
      </c>
      <c r="R100" s="962">
        <f>SUM(R99,Q99,O99,N99)</f>
        <v>264.74714354296913</v>
      </c>
      <c r="S100" s="962">
        <f>SUM(S99,R99,Q99,O99)</f>
        <v>251.30619617153698</v>
      </c>
      <c r="T100" s="962">
        <f>SUM(T99,S99,R99,Q99)</f>
        <v>260.44531977977272</v>
      </c>
      <c r="U100" s="961">
        <f>U99</f>
        <v>237.35660035239894</v>
      </c>
      <c r="V100" s="962">
        <f>SUM(V99,T99,S99,R99)</f>
        <v>272.56614096594848</v>
      </c>
      <c r="W100" s="962">
        <f>SUM(W99,V99,T99,S99)</f>
        <v>292.28515350108881</v>
      </c>
      <c r="X100" s="962">
        <f>SUM(X99,W99,V99,T99)</f>
        <v>312.8859758741753</v>
      </c>
      <c r="Y100" s="962">
        <f>SUM(Y99,X99,W99,V99)</f>
        <v>294.89434086599118</v>
      </c>
      <c r="Z100" s="961">
        <f>Z99</f>
        <v>294.24893395570882</v>
      </c>
      <c r="AA100" s="962">
        <f>SUM(AA99,Y99,X99,W99)</f>
        <v>458.03581251893667</v>
      </c>
      <c r="AB100" s="962">
        <f>SUM(AB99,AA99,Y99,X99)</f>
        <v>715.3567597534236</v>
      </c>
      <c r="AC100" s="962">
        <f>SUM(AC99,AB99,AA99,Y99)</f>
        <v>837.95311057307515</v>
      </c>
      <c r="AD100" s="962">
        <f>SUM(AD99,AC99,AB99,AA99)</f>
        <v>1030.8507426149115</v>
      </c>
      <c r="AE100" s="961">
        <f>AE99</f>
        <v>833.26108848576473</v>
      </c>
      <c r="AF100" s="962">
        <f>SUM(AF99,AD99,AC99,AB99)</f>
        <v>1184.1745936223906</v>
      </c>
      <c r="AG100" s="962">
        <f>SUM(AG99,AF99,AD99,AC99)</f>
        <v>1333.3503261788285</v>
      </c>
      <c r="AH100" s="962">
        <f>SUM(AH99,AG99,AF99,AD99)</f>
        <v>1654.7019267977159</v>
      </c>
      <c r="AI100" s="962">
        <f>SUM(AI99,AH99,AG99,AF99)</f>
        <v>1641.2522192571828</v>
      </c>
      <c r="AJ100" s="961">
        <f>AJ99</f>
        <v>1626.5181711416124</v>
      </c>
      <c r="AK100" s="962">
        <f>SUM(AK99,AI99,AH99,AG99)</f>
        <v>1733.2063036058858</v>
      </c>
      <c r="AL100" s="962">
        <f>SUM(AL99,AK99,AI99,AH99)</f>
        <v>1610.545183378543</v>
      </c>
      <c r="AM100" s="962">
        <f>SUM(AM99,AL99,AK99,AI99)</f>
        <v>1862.7649801242605</v>
      </c>
      <c r="AN100" s="962">
        <f>SUM(AN99,AM99,AL99,AK99)</f>
        <v>2870.1767165481237</v>
      </c>
      <c r="AO100" s="961">
        <f>AO99</f>
        <v>2433.6480271434193</v>
      </c>
      <c r="AP100" s="962">
        <f>SUM(AP99,AN99,AM99,AL99)</f>
        <v>3282.5253497742951</v>
      </c>
      <c r="AQ100" s="962">
        <f>SUM(AQ99,AP99,AN99,AM99)</f>
        <v>3781.4689899365958</v>
      </c>
      <c r="AR100" s="962">
        <f>SUM(AR99,AQ99,AP99,AN99)</f>
        <v>3981.34928851307</v>
      </c>
      <c r="AS100" s="962">
        <f>SUM(AS99,AR99,AQ99,AP99)</f>
        <v>3448.7705063906365</v>
      </c>
      <c r="AT100" s="961">
        <f>AT99</f>
        <v>3423.832233670038</v>
      </c>
      <c r="AU100" s="962">
        <f>SUM(AU99,AS99,AR99,AQ99)</f>
        <v>4445.5258219428151</v>
      </c>
      <c r="AV100" s="962">
        <f>SUM(AV99,AU99,AS99,AR99)</f>
        <v>5109.2189183422461</v>
      </c>
      <c r="AW100" s="963">
        <f>SUM(AW99,AV99,AU99,AS99)</f>
        <v>5753.7245793564862</v>
      </c>
      <c r="AX100" s="962">
        <f>SUM(AX99,AW99,AV99,AU99)</f>
        <v>5517.8194051982118</v>
      </c>
      <c r="AY100" s="961">
        <f>AY99</f>
        <v>5501.6160402283895</v>
      </c>
      <c r="AZ100" s="962">
        <f ca="1">SUM(AZ99,AX99,AW99,AV99)</f>
        <v>5420.1491244440449</v>
      </c>
      <c r="BA100" s="962">
        <f ca="1">SUM(BA99,AZ99,AX99,AW99)</f>
        <v>5639.4886554970599</v>
      </c>
      <c r="BB100" s="962">
        <f ca="1">SUM(BB99,BA99,AZ99,AX99)</f>
        <v>5764.57421965309</v>
      </c>
      <c r="BC100" s="962">
        <f ca="1">SUM(BC99,BB99,BA99,AZ99)</f>
        <v>6441.4654068659829</v>
      </c>
      <c r="BD100" s="961">
        <f ca="1">BD99</f>
        <v>6441.465406865982</v>
      </c>
      <c r="BE100" s="961">
        <f ca="1">BE99</f>
        <v>8202.4833557719176</v>
      </c>
      <c r="BF100" s="961">
        <f ca="1">BF99</f>
        <v>10190.941099426747</v>
      </c>
      <c r="BG100" s="961">
        <f ca="1">BG99</f>
        <v>12974.246167837</v>
      </c>
      <c r="BH100" s="239"/>
    </row>
    <row r="101" spans="1:60" customFormat="1" hidden="1" outlineLevel="1" x14ac:dyDescent="0.25">
      <c r="A101" s="250" t="s">
        <v>209</v>
      </c>
      <c r="B101" s="251"/>
      <c r="C101" s="961">
        <f t="shared" ref="C101:AH101" si="167">INDEX(MO_BS_TA,0,COLUMN())</f>
        <v>679.73399999999992</v>
      </c>
      <c r="D101" s="961">
        <f t="shared" si="167"/>
        <v>982.06700000000001</v>
      </c>
      <c r="E101" s="961">
        <f t="shared" si="167"/>
        <v>3069.1959999999999</v>
      </c>
      <c r="F101" s="961">
        <f t="shared" si="167"/>
        <v>3967.89</v>
      </c>
      <c r="G101" s="962">
        <f t="shared" si="167"/>
        <v>4363.2890000000007</v>
      </c>
      <c r="H101" s="962">
        <f t="shared" si="167"/>
        <v>4480.7510000000002</v>
      </c>
      <c r="I101" s="962">
        <f t="shared" si="167"/>
        <v>4901.3250000000007</v>
      </c>
      <c r="J101" s="962">
        <f t="shared" si="167"/>
        <v>5412.5630000000001</v>
      </c>
      <c r="K101" s="961">
        <f t="shared" si="167"/>
        <v>5412.5630000000001</v>
      </c>
      <c r="L101" s="962">
        <f t="shared" si="167"/>
        <v>6048.1059999999998</v>
      </c>
      <c r="M101" s="962">
        <f t="shared" si="167"/>
        <v>6325.8220000000001</v>
      </c>
      <c r="N101" s="962">
        <f t="shared" si="167"/>
        <v>6778.3289999999997</v>
      </c>
      <c r="O101" s="962">
        <f t="shared" si="167"/>
        <v>7056.6509999999998</v>
      </c>
      <c r="P101" s="961">
        <f t="shared" si="167"/>
        <v>7056.6509999999998</v>
      </c>
      <c r="Q101" s="962">
        <f t="shared" si="167"/>
        <v>9240.6260000000002</v>
      </c>
      <c r="R101" s="962">
        <f t="shared" si="167"/>
        <v>9654.860999999999</v>
      </c>
      <c r="S101" s="962">
        <f t="shared" si="167"/>
        <v>9916.2669999999998</v>
      </c>
      <c r="T101" s="962">
        <f t="shared" si="167"/>
        <v>10202.870999999999</v>
      </c>
      <c r="U101" s="961">
        <f t="shared" si="167"/>
        <v>10202.870999999999</v>
      </c>
      <c r="V101" s="962">
        <f t="shared" si="167"/>
        <v>11262.274000000001</v>
      </c>
      <c r="W101" s="962">
        <f t="shared" si="167"/>
        <v>11593.507</v>
      </c>
      <c r="X101" s="962">
        <f t="shared" si="167"/>
        <v>12347.338</v>
      </c>
      <c r="Y101" s="962">
        <f t="shared" si="167"/>
        <v>13586.61</v>
      </c>
      <c r="Z101" s="961">
        <f t="shared" si="167"/>
        <v>13586.61</v>
      </c>
      <c r="AA101" s="962">
        <f t="shared" si="167"/>
        <v>14359.096</v>
      </c>
      <c r="AB101" s="962">
        <f t="shared" si="167"/>
        <v>16517.222999999998</v>
      </c>
      <c r="AC101" s="962">
        <f t="shared" si="167"/>
        <v>16951.54</v>
      </c>
      <c r="AD101" s="962">
        <f t="shared" si="167"/>
        <v>19012.741999999998</v>
      </c>
      <c r="AE101" s="961">
        <f t="shared" si="167"/>
        <v>19012.741999999998</v>
      </c>
      <c r="AF101" s="962">
        <f t="shared" si="167"/>
        <v>20152.796999999999</v>
      </c>
      <c r="AG101" s="962">
        <f t="shared" si="167"/>
        <v>22663.537000000004</v>
      </c>
      <c r="AH101" s="962">
        <f t="shared" si="167"/>
        <v>23366.228999999999</v>
      </c>
      <c r="AI101" s="962">
        <f t="shared" ref="AI101:AY101" si="168">INDEX(MO_BS_TA,0,COLUMN())</f>
        <v>25974.400000000001</v>
      </c>
      <c r="AJ101" s="961">
        <f t="shared" si="168"/>
        <v>25974.400000000001</v>
      </c>
      <c r="AK101" s="962">
        <f t="shared" si="168"/>
        <v>27218.631999999998</v>
      </c>
      <c r="AL101" s="962">
        <f t="shared" si="168"/>
        <v>30171.339</v>
      </c>
      <c r="AM101" s="962">
        <f t="shared" si="168"/>
        <v>30941.710999999996</v>
      </c>
      <c r="AN101" s="962">
        <f t="shared" si="168"/>
        <v>33975.712000000007</v>
      </c>
      <c r="AO101" s="961">
        <f t="shared" si="168"/>
        <v>33975.712000000007</v>
      </c>
      <c r="AP101" s="962">
        <f t="shared" si="168"/>
        <v>35059.910000000003</v>
      </c>
      <c r="AQ101" s="962">
        <f t="shared" si="168"/>
        <v>37175.280999999995</v>
      </c>
      <c r="AR101" s="962">
        <f>INDEX(MO_BS_TA,0,COLUMN())</f>
        <v>38622.543000000005</v>
      </c>
      <c r="AS101" s="962">
        <f>INDEX(MO_BS_TA,0,COLUMN())</f>
        <v>39280.358999999997</v>
      </c>
      <c r="AT101" s="961">
        <f>INDEX(MO_BS_TA,0,COLUMN())</f>
        <v>39280.358999999997</v>
      </c>
      <c r="AU101" s="962">
        <f t="shared" si="168"/>
        <v>40123.014000000003</v>
      </c>
      <c r="AV101" s="962">
        <f>INDEX(MO_BS_TA,0,COLUMN())</f>
        <v>40970.968999999997</v>
      </c>
      <c r="AW101" s="963">
        <f>INDEX(MO_BS_TA,0,COLUMN())</f>
        <v>42739.856999999996</v>
      </c>
      <c r="AX101" s="962">
        <f t="shared" ca="1" si="168"/>
        <v>43670.831139416754</v>
      </c>
      <c r="AY101" s="961">
        <f t="shared" ca="1" si="168"/>
        <v>43670.831139416754</v>
      </c>
      <c r="AZ101" s="962">
        <f t="shared" ref="AZ101:BG101" ca="1" si="169">INDEX(MO_BS_TA,0,COLUMN())</f>
        <v>45725.565413142569</v>
      </c>
      <c r="BA101" s="962">
        <f t="shared" ca="1" si="169"/>
        <v>47647.139921056187</v>
      </c>
      <c r="BB101" s="962">
        <f t="shared" ca="1" si="169"/>
        <v>49985.403143359938</v>
      </c>
      <c r="BC101" s="962">
        <f t="shared" ca="1" si="169"/>
        <v>51640.84754958337</v>
      </c>
      <c r="BD101" s="961">
        <f t="shared" ca="1" si="169"/>
        <v>51640.84754958337</v>
      </c>
      <c r="BE101" s="961">
        <f t="shared" ca="1" si="169"/>
        <v>61521.40650952646</v>
      </c>
      <c r="BF101" s="961">
        <f t="shared" ca="1" si="169"/>
        <v>73623.459027377146</v>
      </c>
      <c r="BG101" s="961">
        <f t="shared" ca="1" si="169"/>
        <v>88770.083171621809</v>
      </c>
      <c r="BH101" s="239"/>
    </row>
    <row r="102" spans="1:60" customFormat="1" hidden="1" outlineLevel="1" x14ac:dyDescent="0.25">
      <c r="A102" s="250" t="s">
        <v>359</v>
      </c>
      <c r="B102" s="251"/>
      <c r="C102" s="961">
        <f>C101</f>
        <v>679.73399999999992</v>
      </c>
      <c r="D102" s="961">
        <f>AVERAGE(D101,C101)</f>
        <v>830.90049999999997</v>
      </c>
      <c r="E102" s="961">
        <f>AVERAGE(E101,D101)</f>
        <v>2025.6315</v>
      </c>
      <c r="F102" s="961">
        <f>AVERAGE(F101,E101)</f>
        <v>3518.5429999999997</v>
      </c>
      <c r="G102" s="962"/>
      <c r="H102" s="962"/>
      <c r="I102" s="962"/>
      <c r="J102" s="962">
        <f>AVERAGE(J101,I101,H101,G101)</f>
        <v>4789.482</v>
      </c>
      <c r="K102" s="961">
        <f>AVERAGE(K101,F101)</f>
        <v>4690.2264999999998</v>
      </c>
      <c r="L102" s="962">
        <f>AVERAGE(L101,J101,I101,H101)</f>
        <v>5210.6862500000007</v>
      </c>
      <c r="M102" s="962">
        <f>AVERAGE(M101,L101,J101,I101)</f>
        <v>5671.9540000000006</v>
      </c>
      <c r="N102" s="962">
        <f>AVERAGE(N101,M101,L101,J101)</f>
        <v>6141.2049999999999</v>
      </c>
      <c r="O102" s="962">
        <f>AVERAGE(O101,N101,M101,L101)</f>
        <v>6552.2269999999999</v>
      </c>
      <c r="P102" s="961">
        <f>AVERAGE(P101,K101)</f>
        <v>6234.607</v>
      </c>
      <c r="Q102" s="962">
        <f>AVERAGE(Q101,O101,N101,M101)</f>
        <v>7350.357</v>
      </c>
      <c r="R102" s="962">
        <f>AVERAGE(R101,Q101,O101,N101)</f>
        <v>8182.6167499999992</v>
      </c>
      <c r="S102" s="962">
        <f>AVERAGE(S101,R101,Q101,O101)</f>
        <v>8967.1012499999997</v>
      </c>
      <c r="T102" s="962">
        <f>AVERAGE(T101,S101,R101,Q101)</f>
        <v>9753.65625</v>
      </c>
      <c r="U102" s="961">
        <f>AVERAGE(U101,P101)</f>
        <v>8629.7609999999986</v>
      </c>
      <c r="V102" s="962">
        <f>AVERAGE(V101,T101,S101,R101)</f>
        <v>10259.06825</v>
      </c>
      <c r="W102" s="962">
        <f>AVERAGE(W101,V101,T101,S101)</f>
        <v>10743.72975</v>
      </c>
      <c r="X102" s="962">
        <f>AVERAGE(X101,W101,V101,T101)</f>
        <v>11351.497500000001</v>
      </c>
      <c r="Y102" s="962">
        <f>AVERAGE(Y101,X101,W101,V101)</f>
        <v>12197.432250000002</v>
      </c>
      <c r="Z102" s="961">
        <f>AVERAGE(Z101,U101)</f>
        <v>11894.7405</v>
      </c>
      <c r="AA102" s="962">
        <f>AVERAGE(AA101,Y101,X101,W101)</f>
        <v>12971.637749999998</v>
      </c>
      <c r="AB102" s="962">
        <f>AVERAGE(AB101,AA101,Y101,X101)</f>
        <v>14202.566749999998</v>
      </c>
      <c r="AC102" s="962">
        <f>AVERAGE(AC101,AB101,AA101,Y101)</f>
        <v>15353.617249999999</v>
      </c>
      <c r="AD102" s="962">
        <f>AVERAGE(AD101,AC101,AB101,AA101)</f>
        <v>16710.150249999999</v>
      </c>
      <c r="AE102" s="961">
        <f>AVERAGE(AE101,Z101)</f>
        <v>16299.675999999999</v>
      </c>
      <c r="AF102" s="962">
        <f>AVERAGE(AF101,AD101,AC101,AB101)</f>
        <v>18158.575499999999</v>
      </c>
      <c r="AG102" s="962">
        <f>AVERAGE(AG101,AF101,AD101,AC101)</f>
        <v>19695.154000000002</v>
      </c>
      <c r="AH102" s="962">
        <f>AVERAGE(AH101,AG101,AF101,AD101)</f>
        <v>21298.826249999998</v>
      </c>
      <c r="AI102" s="962">
        <f>AVERAGE(AI101,AH101,AG101,AF101)</f>
        <v>23039.240749999997</v>
      </c>
      <c r="AJ102" s="961">
        <f>AVERAGE(AJ101,AE101)</f>
        <v>22493.571</v>
      </c>
      <c r="AK102" s="962">
        <f>AVERAGE(AK101,AI101,AH101,AG101)</f>
        <v>24805.699500000002</v>
      </c>
      <c r="AL102" s="962">
        <f>AVERAGE(AL101,AK101,AI101,AH101)</f>
        <v>26682.65</v>
      </c>
      <c r="AM102" s="962">
        <f>AVERAGE(AM101,AL101,AK101,AI101)</f>
        <v>28576.520499999999</v>
      </c>
      <c r="AN102" s="962">
        <f>AVERAGE(AN101,AM101,AL101,AK101)</f>
        <v>30576.8485</v>
      </c>
      <c r="AO102" s="961">
        <f>AVERAGE(AO101,AJ101)</f>
        <v>29975.056000000004</v>
      </c>
      <c r="AP102" s="962">
        <f>AVERAGE(AP101,AN101,AM101,AL101)</f>
        <v>32537.167999999998</v>
      </c>
      <c r="AQ102" s="962">
        <f>AVERAGE(AQ101,AP101,AN101,AM101)</f>
        <v>34288.1535</v>
      </c>
      <c r="AR102" s="962">
        <f>AVERAGE(AR101,AQ101,AP101,AN101)</f>
        <v>36208.361499999999</v>
      </c>
      <c r="AS102" s="962">
        <f>AVERAGE(AS101,AR101,AQ101,AP101)</f>
        <v>37534.523249999998</v>
      </c>
      <c r="AT102" s="961">
        <f>AVERAGE(AT101,AO101)</f>
        <v>36628.035499999998</v>
      </c>
      <c r="AU102" s="962">
        <f>AVERAGE(AU101,AS101,AR101,AQ101)</f>
        <v>38800.299249999996</v>
      </c>
      <c r="AV102" s="962">
        <f>AVERAGE(AV101,AU101,AS101,AR101)</f>
        <v>39749.221250000002</v>
      </c>
      <c r="AW102" s="963">
        <f>AVERAGE(AW101,AV101,AU101,AS101)</f>
        <v>40778.549749999998</v>
      </c>
      <c r="AX102" s="962">
        <f ca="1">AVERAGE(AX101,AW101,AV101,AU101)</f>
        <v>41876.167784854188</v>
      </c>
      <c r="AY102" s="961">
        <f ca="1">AVERAGE(AY101,AT101)</f>
        <v>41475.595069708375</v>
      </c>
      <c r="AZ102" s="962">
        <f ca="1">AVERAGE(AZ101,AX101,AW101,AV101)</f>
        <v>43276.805638139835</v>
      </c>
      <c r="BA102" s="962">
        <f ca="1">AVERAGE(BA101,AZ101,AX101,AW101)</f>
        <v>44945.848368403873</v>
      </c>
      <c r="BB102" s="962">
        <f ca="1">AVERAGE(BB101,BA101,AZ101,AX101)</f>
        <v>46757.234904243865</v>
      </c>
      <c r="BC102" s="962">
        <f ca="1">AVERAGE(BC101,BB101,BA101,AZ101)</f>
        <v>48749.739006785516</v>
      </c>
      <c r="BD102" s="961">
        <f ca="1">AVERAGE(BD101,AY101)</f>
        <v>47655.839344500062</v>
      </c>
      <c r="BE102" s="961">
        <f ca="1">AVERAGE(BE101,BD101)</f>
        <v>56581.127029554918</v>
      </c>
      <c r="BF102" s="961">
        <f ca="1">AVERAGE(BF101,BE101)</f>
        <v>67572.432768451807</v>
      </c>
      <c r="BG102" s="961">
        <f ca="1">AVERAGE(BG101,BF101)</f>
        <v>81196.771099499485</v>
      </c>
      <c r="BH102" s="239"/>
    </row>
    <row r="103" spans="1:60" customFormat="1" collapsed="1" x14ac:dyDescent="0.25">
      <c r="A103" s="260" t="s">
        <v>360</v>
      </c>
      <c r="B103" s="160"/>
      <c r="C103" s="127">
        <f>IF(C102&lt;0,"NMF",IF(ABS(C100/C102)&gt;1,"NMF",C100/C102))</f>
        <v>0.17619150205527753</v>
      </c>
      <c r="D103" s="127">
        <f>IF(D102&lt;0,"NMF",IF(ABS(D100/D102)&gt;1,"NMF",D100/D102))</f>
        <v>0.20778379706448735</v>
      </c>
      <c r="E103" s="127">
        <f>IF(E102&lt;0,"NMF",IF(ABS(E100/E102)&gt;1,"NMF",E100/E102))</f>
        <v>0.11785015294604534</v>
      </c>
      <c r="F103" s="127">
        <f>IF(F102&lt;0,"NMF",IF(ABS(F100/F102)&gt;1,"NMF",F100/F102))</f>
        <v>8.0711575673879966E-3</v>
      </c>
      <c r="G103" s="128"/>
      <c r="H103" s="128"/>
      <c r="I103" s="128"/>
      <c r="J103" s="128"/>
      <c r="K103" s="127">
        <f t="shared" ref="K103:AY103" si="170">IF(K102&lt;0,"NMF",IF(ABS(K100/K102)&gt;1,"NMF",K100/K102))</f>
        <v>2.8047803555761631E-2</v>
      </c>
      <c r="L103" s="128">
        <f t="shared" si="170"/>
        <v>3.5165353594480135E-2</v>
      </c>
      <c r="M103" s="128">
        <f t="shared" si="170"/>
        <v>4.0213843819265842E-2</v>
      </c>
      <c r="N103" s="128">
        <f t="shared" si="170"/>
        <v>4.2171085804162838E-2</v>
      </c>
      <c r="O103" s="128">
        <f t="shared" si="170"/>
        <v>4.7849849909157749E-2</v>
      </c>
      <c r="P103" s="127">
        <f t="shared" si="170"/>
        <v>4.8944419876973594E-2</v>
      </c>
      <c r="Q103" s="128">
        <f t="shared" si="170"/>
        <v>4.0078200820380397E-2</v>
      </c>
      <c r="R103" s="128">
        <f t="shared" si="170"/>
        <v>3.235482628988693E-2</v>
      </c>
      <c r="S103" s="128">
        <f t="shared" si="170"/>
        <v>2.8025355035612761E-2</v>
      </c>
      <c r="T103" s="128">
        <f t="shared" si="170"/>
        <v>2.6702327117564012E-2</v>
      </c>
      <c r="U103" s="127">
        <f t="shared" si="170"/>
        <v>2.7504423396244575E-2</v>
      </c>
      <c r="V103" s="128">
        <f t="shared" si="170"/>
        <v>2.6568313449513162E-2</v>
      </c>
      <c r="W103" s="128">
        <f t="shared" si="170"/>
        <v>2.7205184819646903E-2</v>
      </c>
      <c r="X103" s="128">
        <f t="shared" si="170"/>
        <v>2.7563409662396988E-2</v>
      </c>
      <c r="Y103" s="128">
        <f t="shared" si="170"/>
        <v>2.4176755797597576E-2</v>
      </c>
      <c r="Z103" s="127">
        <f t="shared" si="170"/>
        <v>2.4737734627813767E-2</v>
      </c>
      <c r="AA103" s="128">
        <f t="shared" si="170"/>
        <v>3.5310561499370945E-2</v>
      </c>
      <c r="AB103" s="128">
        <f t="shared" si="170"/>
        <v>5.0368132207752075E-2</v>
      </c>
      <c r="AC103" s="128">
        <f t="shared" si="170"/>
        <v>5.4576918059688846E-2</v>
      </c>
      <c r="AD103" s="128">
        <f t="shared" si="170"/>
        <v>6.1690094175838518E-2</v>
      </c>
      <c r="AE103" s="127">
        <f t="shared" si="170"/>
        <v>5.1121328331051777E-2</v>
      </c>
      <c r="AF103" s="128">
        <f t="shared" si="170"/>
        <v>6.5212967483181186E-2</v>
      </c>
      <c r="AG103" s="128">
        <f t="shared" si="170"/>
        <v>6.7699411041864832E-2</v>
      </c>
      <c r="AH103" s="128">
        <f t="shared" si="170"/>
        <v>7.7689817616016094E-2</v>
      </c>
      <c r="AI103" s="128">
        <f t="shared" si="170"/>
        <v>7.1237252870721579E-2</v>
      </c>
      <c r="AJ103" s="127">
        <f t="shared" si="170"/>
        <v>7.231035797480144E-2</v>
      </c>
      <c r="AK103" s="128">
        <f t="shared" si="170"/>
        <v>6.9871293232665568E-2</v>
      </c>
      <c r="AL103" s="128">
        <f t="shared" si="170"/>
        <v>6.0359266541312163E-2</v>
      </c>
      <c r="AM103" s="128">
        <f t="shared" si="170"/>
        <v>6.5185157168601432E-2</v>
      </c>
      <c r="AN103" s="128">
        <f t="shared" si="170"/>
        <v>9.3867643571839118E-2</v>
      </c>
      <c r="AO103" s="127">
        <f t="shared" si="170"/>
        <v>8.1189106940898426E-2</v>
      </c>
      <c r="AP103" s="128">
        <f t="shared" si="170"/>
        <v>0.10088540434048518</v>
      </c>
      <c r="AQ103" s="128">
        <f t="shared" si="170"/>
        <v>0.11028499945138766</v>
      </c>
      <c r="AR103" s="128">
        <f>IF(AR102&lt;0,"NMF",IF(ABS(AR100/AR102)&gt;1,"NMF",AR100/AR102))</f>
        <v>0.10995662669002766</v>
      </c>
      <c r="AS103" s="128">
        <f>IF(AS102&lt;0,"NMF",IF(ABS(AS100/AS102)&gt;1,"NMF",AS100/AS102))</f>
        <v>9.18826245219629E-2</v>
      </c>
      <c r="AT103" s="127">
        <f>IF(AT102&lt;0,"NMF",IF(ABS(AT100/AT102)&gt;1,"NMF",AT100/AT102))</f>
        <v>9.3475726637592627E-2</v>
      </c>
      <c r="AU103" s="128">
        <f t="shared" ref="AU103" si="171">IF(AU102&lt;0,"NMF",IF(ABS(AU100/AU102)&gt;1,"NMF",AU100/AU102))</f>
        <v>0.11457452411124937</v>
      </c>
      <c r="AV103" s="128">
        <f>IF(AV102&lt;0,"NMF",IF(ABS(AV100/AV102)&gt;1,"NMF",AV100/AV102))</f>
        <v>0.12853632744672314</v>
      </c>
      <c r="AW103" s="623">
        <f>IF(AW102&lt;0,"NMF",IF(ABS(AW100/AW102)&gt;1,"NMF",AW100/AW102))</f>
        <v>0.1410968417128784</v>
      </c>
      <c r="AX103" s="128">
        <f t="shared" ca="1" si="170"/>
        <v>0.13176514702937794</v>
      </c>
      <c r="AY103" s="127">
        <f t="shared" ca="1" si="170"/>
        <v>0.13264706705188384</v>
      </c>
      <c r="AZ103" s="128">
        <f t="shared" ref="AZ103:BG103" ca="1" si="172">IF(AZ102&lt;0,"NMF",IF(ABS(AZ100/AZ102)&gt;1,"NMF",AZ100/AZ102))</f>
        <v>0.12524374302865066</v>
      </c>
      <c r="BA103" s="128">
        <f t="shared" ca="1" si="172"/>
        <v>0.1254729604672791</v>
      </c>
      <c r="BB103" s="128">
        <f t="shared" ca="1" si="172"/>
        <v>0.12328732080625827</v>
      </c>
      <c r="BC103" s="128">
        <f t="shared" ca="1" si="172"/>
        <v>0.13213333113371931</v>
      </c>
      <c r="BD103" s="127">
        <f t="shared" ca="1" si="172"/>
        <v>0.13516634048350654</v>
      </c>
      <c r="BE103" s="127">
        <f t="shared" ca="1" si="172"/>
        <v>0.14496853962430589</v>
      </c>
      <c r="BF103" s="127">
        <f t="shared" ca="1" si="172"/>
        <v>0.15081506883654322</v>
      </c>
      <c r="BG103" s="127">
        <f t="shared" ca="1" si="172"/>
        <v>0.1597877106706399</v>
      </c>
      <c r="BH103" s="372"/>
    </row>
    <row r="104" spans="1:60" customFormat="1" hidden="1" outlineLevel="1" x14ac:dyDescent="0.25">
      <c r="A104" s="250" t="s">
        <v>361</v>
      </c>
      <c r="B104" s="251"/>
      <c r="C104" s="961">
        <f t="shared" ref="C104:AH104" si="173">INDEX(MO_BSS_Debt_Net,0,COLUMN())+INDEX(MO_BSS_Cash,0,COLUMN())</f>
        <v>237.982</v>
      </c>
      <c r="D104" s="961">
        <f t="shared" si="173"/>
        <v>200</v>
      </c>
      <c r="E104" s="961">
        <f t="shared" si="173"/>
        <v>400</v>
      </c>
      <c r="F104" s="961">
        <f t="shared" si="173"/>
        <v>400</v>
      </c>
      <c r="G104" s="962">
        <f t="shared" si="173"/>
        <v>700</v>
      </c>
      <c r="H104" s="962">
        <f t="shared" si="173"/>
        <v>500</v>
      </c>
      <c r="I104" s="962">
        <f t="shared" si="173"/>
        <v>500</v>
      </c>
      <c r="J104" s="962">
        <f t="shared" si="173"/>
        <v>500</v>
      </c>
      <c r="K104" s="961">
        <f t="shared" si="173"/>
        <v>500</v>
      </c>
      <c r="L104" s="962">
        <f t="shared" si="173"/>
        <v>900</v>
      </c>
      <c r="M104" s="962">
        <f t="shared" si="173"/>
        <v>900</v>
      </c>
      <c r="N104" s="962">
        <f t="shared" si="173"/>
        <v>900</v>
      </c>
      <c r="O104" s="962">
        <f t="shared" si="173"/>
        <v>900</v>
      </c>
      <c r="P104" s="961">
        <f t="shared" si="173"/>
        <v>900</v>
      </c>
      <c r="Q104" s="962">
        <f t="shared" si="173"/>
        <v>2400</v>
      </c>
      <c r="R104" s="962">
        <f t="shared" si="173"/>
        <v>2400</v>
      </c>
      <c r="S104" s="962">
        <f t="shared" si="173"/>
        <v>2400</v>
      </c>
      <c r="T104" s="962">
        <f t="shared" si="173"/>
        <v>2371.3620000000001</v>
      </c>
      <c r="U104" s="961">
        <f t="shared" si="173"/>
        <v>2371.3620000000001</v>
      </c>
      <c r="V104" s="962">
        <f t="shared" si="173"/>
        <v>2372.2179999999998</v>
      </c>
      <c r="W104" s="962">
        <f t="shared" si="173"/>
        <v>2373.085</v>
      </c>
      <c r="X104" s="962">
        <f t="shared" si="173"/>
        <v>2373.9659999999999</v>
      </c>
      <c r="Y104" s="962">
        <f t="shared" si="173"/>
        <v>3364.3110000000001</v>
      </c>
      <c r="Z104" s="961">
        <f t="shared" si="173"/>
        <v>3364.3110000000001</v>
      </c>
      <c r="AA104" s="962">
        <f t="shared" si="173"/>
        <v>3365.431</v>
      </c>
      <c r="AB104" s="962">
        <f t="shared" si="173"/>
        <v>4836.5020000000004</v>
      </c>
      <c r="AC104" s="962">
        <f t="shared" si="173"/>
        <v>4888.7830000000004</v>
      </c>
      <c r="AD104" s="962">
        <f t="shared" si="173"/>
        <v>6499.4319999999998</v>
      </c>
      <c r="AE104" s="961">
        <f t="shared" si="173"/>
        <v>6499.4319999999998</v>
      </c>
      <c r="AF104" s="962">
        <f t="shared" si="173"/>
        <v>6542.3729999999996</v>
      </c>
      <c r="AG104" s="962">
        <f t="shared" si="173"/>
        <v>8342.0669999999991</v>
      </c>
      <c r="AH104" s="962">
        <f t="shared" si="173"/>
        <v>8336.5859999999993</v>
      </c>
      <c r="AI104" s="962">
        <f t="shared" ref="AI104:AY104" si="174">INDEX(MO_BSS_Debt_Net,0,COLUMN())+INDEX(MO_BSS_Cash,0,COLUMN())</f>
        <v>10360.058000000001</v>
      </c>
      <c r="AJ104" s="961">
        <f t="shared" si="174"/>
        <v>10360.058000000001</v>
      </c>
      <c r="AK104" s="962">
        <f t="shared" si="174"/>
        <v>11192.545</v>
      </c>
      <c r="AL104" s="962">
        <f t="shared" si="174"/>
        <v>13678.077000000001</v>
      </c>
      <c r="AM104" s="962">
        <f t="shared" si="174"/>
        <v>13539.365000000002</v>
      </c>
      <c r="AN104" s="962">
        <f t="shared" si="174"/>
        <v>16372.494000000001</v>
      </c>
      <c r="AO104" s="961">
        <f t="shared" si="174"/>
        <v>16372.494000000001</v>
      </c>
      <c r="AP104" s="962">
        <f t="shared" si="174"/>
        <v>16265.500999999998</v>
      </c>
      <c r="AQ104" s="962">
        <f t="shared" si="174"/>
        <v>17708.159</v>
      </c>
      <c r="AR104" s="962">
        <f>INDEX(MO_BSS_Debt_Net,0,COLUMN())+INDEX(MO_BSS_Cash,0,COLUMN())</f>
        <v>18137.133000000002</v>
      </c>
      <c r="AS104" s="962">
        <f>INDEX(MO_BSS_Debt_Net,0,COLUMN())+INDEX(MO_BSS_Cash,0,COLUMN())</f>
        <v>18510.826000000001</v>
      </c>
      <c r="AT104" s="961">
        <f>INDEX(MO_BSS_Debt_Net,0,COLUMN())+INDEX(MO_BSS_Cash,0,COLUMN())</f>
        <v>18510.826000000001</v>
      </c>
      <c r="AU104" s="962">
        <f t="shared" si="174"/>
        <v>17739.319</v>
      </c>
      <c r="AV104" s="962">
        <f>INDEX(MO_BSS_Debt_Net,0,COLUMN())+INDEX(MO_BSS_Cash,0,COLUMN())</f>
        <v>17943.124</v>
      </c>
      <c r="AW104" s="963">
        <f>INDEX(MO_BSS_Debt_Net,0,COLUMN())+INDEX(MO_BSS_Cash,0,COLUMN())</f>
        <v>18006.608</v>
      </c>
      <c r="AX104" s="962">
        <f t="shared" ca="1" si="174"/>
        <v>18006.608</v>
      </c>
      <c r="AY104" s="961">
        <f t="shared" ca="1" si="174"/>
        <v>18006.608</v>
      </c>
      <c r="AZ104" s="962">
        <f t="shared" ref="AZ104:BG104" ca="1" si="175">INDEX(MO_BSS_Debt_Net,0,COLUMN())+INDEX(MO_BSS_Cash,0,COLUMN())</f>
        <v>18006.608</v>
      </c>
      <c r="BA104" s="962">
        <f t="shared" ca="1" si="175"/>
        <v>18006.608</v>
      </c>
      <c r="BB104" s="962">
        <f t="shared" ca="1" si="175"/>
        <v>18006.608</v>
      </c>
      <c r="BC104" s="962">
        <f t="shared" ca="1" si="175"/>
        <v>18006.608</v>
      </c>
      <c r="BD104" s="961">
        <f t="shared" ca="1" si="175"/>
        <v>18006.608</v>
      </c>
      <c r="BE104" s="961">
        <f t="shared" ca="1" si="175"/>
        <v>18006.608</v>
      </c>
      <c r="BF104" s="961">
        <f t="shared" ca="1" si="175"/>
        <v>18006.608</v>
      </c>
      <c r="BG104" s="961">
        <f t="shared" ca="1" si="175"/>
        <v>18006.608</v>
      </c>
      <c r="BH104" s="239"/>
    </row>
    <row r="105" spans="1:60" customFormat="1" hidden="1" outlineLevel="1" x14ac:dyDescent="0.25">
      <c r="A105" s="250" t="s">
        <v>362</v>
      </c>
      <c r="B105" s="251"/>
      <c r="C105" s="961">
        <f>C104</f>
        <v>237.982</v>
      </c>
      <c r="D105" s="961">
        <f>AVERAGE(D104,C104)</f>
        <v>218.99099999999999</v>
      </c>
      <c r="E105" s="961">
        <f>AVERAGE(E104,D104)</f>
        <v>300</v>
      </c>
      <c r="F105" s="961">
        <f>AVERAGE(F104,E104)</f>
        <v>400</v>
      </c>
      <c r="G105" s="962"/>
      <c r="H105" s="962"/>
      <c r="I105" s="962"/>
      <c r="J105" s="962">
        <f>AVERAGE(J104,I104,H104,G104)</f>
        <v>550</v>
      </c>
      <c r="K105" s="961">
        <f>AVERAGE(K104,F104)</f>
        <v>450</v>
      </c>
      <c r="L105" s="962">
        <f>AVERAGE(L104,J104,I104,H104)</f>
        <v>600</v>
      </c>
      <c r="M105" s="962">
        <f>AVERAGE(M104,L104,J104,I104)</f>
        <v>700</v>
      </c>
      <c r="N105" s="962">
        <f>AVERAGE(N104,M104,L104,J104)</f>
        <v>800</v>
      </c>
      <c r="O105" s="962">
        <f>AVERAGE(O104,N104,M104,L104)</f>
        <v>900</v>
      </c>
      <c r="P105" s="961">
        <f>AVERAGE(P104,K104)</f>
        <v>700</v>
      </c>
      <c r="Q105" s="962">
        <f>AVERAGE(Q104,O104,N104,M104)</f>
        <v>1275</v>
      </c>
      <c r="R105" s="962">
        <f>AVERAGE(R104,Q104,O104,N104)</f>
        <v>1650</v>
      </c>
      <c r="S105" s="962">
        <f>AVERAGE(S104,R104,Q104,O104)</f>
        <v>2025</v>
      </c>
      <c r="T105" s="962">
        <f>AVERAGE(T104,S104,R104,Q104)</f>
        <v>2392.8405000000002</v>
      </c>
      <c r="U105" s="961">
        <f>AVERAGE(U104,P104)</f>
        <v>1635.681</v>
      </c>
      <c r="V105" s="962">
        <f>AVERAGE(V104,T104,S104,R104)</f>
        <v>2385.895</v>
      </c>
      <c r="W105" s="962">
        <f>AVERAGE(W104,V104,T104,S104)</f>
        <v>2379.1662500000002</v>
      </c>
      <c r="X105" s="962">
        <f>AVERAGE(X104,W104,V104,T104)</f>
        <v>2372.6577499999999</v>
      </c>
      <c r="Y105" s="962">
        <f>AVERAGE(Y104,X104,W104,V104)</f>
        <v>2620.895</v>
      </c>
      <c r="Z105" s="961">
        <f>AVERAGE(Z104,U104)</f>
        <v>2867.8365000000003</v>
      </c>
      <c r="AA105" s="962">
        <f>AVERAGE(AA104,Y104,X104,W104)</f>
        <v>2869.1982500000004</v>
      </c>
      <c r="AB105" s="962">
        <f>AVERAGE(AB104,AA104,Y104,X104)</f>
        <v>3485.0525000000002</v>
      </c>
      <c r="AC105" s="962">
        <f>AVERAGE(AC104,AB104,AA104,Y104)</f>
        <v>4113.7567500000005</v>
      </c>
      <c r="AD105" s="962">
        <f>AVERAGE(AD104,AC104,AB104,AA104)</f>
        <v>4897.5370000000003</v>
      </c>
      <c r="AE105" s="961">
        <f>AVERAGE(AE104,Z104)</f>
        <v>4931.8715000000002</v>
      </c>
      <c r="AF105" s="962">
        <f>AVERAGE(AF104,AD104,AC104,AB104)</f>
        <v>5691.7725</v>
      </c>
      <c r="AG105" s="962">
        <f>AVERAGE(AG104,AF104,AD104,AC104)</f>
        <v>6568.1637499999997</v>
      </c>
      <c r="AH105" s="962">
        <f>AVERAGE(AH104,AG104,AF104,AD104)</f>
        <v>7430.1144999999997</v>
      </c>
      <c r="AI105" s="962">
        <f>AVERAGE(AI104,AH104,AG104,AF104)</f>
        <v>8395.2710000000006</v>
      </c>
      <c r="AJ105" s="961">
        <f>AVERAGE(AJ104,AE104)</f>
        <v>8429.7450000000008</v>
      </c>
      <c r="AK105" s="962">
        <f>AVERAGE(AK104,AI104,AH104,AG104)</f>
        <v>9557.8140000000003</v>
      </c>
      <c r="AL105" s="962">
        <f>AVERAGE(AL104,AK104,AI104,AH104)</f>
        <v>10891.816500000001</v>
      </c>
      <c r="AM105" s="962">
        <f>AVERAGE(AM104,AL104,AK104,AI104)</f>
        <v>12192.51125</v>
      </c>
      <c r="AN105" s="962">
        <f>AVERAGE(AN104,AM104,AL104,AK104)</f>
        <v>13695.62025</v>
      </c>
      <c r="AO105" s="961">
        <f>AVERAGE(AO104,AJ104)</f>
        <v>13366.276000000002</v>
      </c>
      <c r="AP105" s="962">
        <f>AVERAGE(AP104,AN104,AM104,AL104)</f>
        <v>14963.859250000001</v>
      </c>
      <c r="AQ105" s="962">
        <f>AVERAGE(AQ104,AP104,AN104,AM104)</f>
        <v>15971.37975</v>
      </c>
      <c r="AR105" s="962">
        <f>AVERAGE(AR104,AQ104,AP104,AN104)</f>
        <v>17120.821749999999</v>
      </c>
      <c r="AS105" s="962">
        <f>AVERAGE(AS104,AR104,AQ104,AP104)</f>
        <v>17655.404750000002</v>
      </c>
      <c r="AT105" s="961">
        <f>AVERAGE(AT104,AO104)</f>
        <v>17441.66</v>
      </c>
      <c r="AU105" s="962">
        <f>AVERAGE(AU104,AS104,AR104,AQ104)</f>
        <v>18023.859250000001</v>
      </c>
      <c r="AV105" s="962">
        <f>AVERAGE(AV104,AU104,AS104,AR104)</f>
        <v>18082.6005</v>
      </c>
      <c r="AW105" s="963">
        <f>AVERAGE(AW104,AV104,AU104,AS104)</f>
        <v>18049.969250000002</v>
      </c>
      <c r="AX105" s="962">
        <f ca="1">AVERAGE(AX104,AW104,AV104,AU104)</f>
        <v>17923.91475</v>
      </c>
      <c r="AY105" s="961">
        <f ca="1">AVERAGE(AY104,AT104)</f>
        <v>18258.717000000001</v>
      </c>
      <c r="AZ105" s="962">
        <f ca="1">AVERAGE(AZ104,AX104,AW104,AV104)</f>
        <v>17990.737000000001</v>
      </c>
      <c r="BA105" s="962">
        <f ca="1">AVERAGE(BA104,AZ104,AX104,AW104)</f>
        <v>18006.608</v>
      </c>
      <c r="BB105" s="962">
        <f ca="1">AVERAGE(BB104,BA104,AZ104,AX104)</f>
        <v>18006.608</v>
      </c>
      <c r="BC105" s="962">
        <f ca="1">AVERAGE(BC104,BB104,BA104,AZ104)</f>
        <v>18006.608</v>
      </c>
      <c r="BD105" s="961">
        <f ca="1">AVERAGE(BD104,AY104)</f>
        <v>18006.608</v>
      </c>
      <c r="BE105" s="961">
        <f ca="1">AVERAGE(BE104,BD104)</f>
        <v>18006.608</v>
      </c>
      <c r="BF105" s="961">
        <f ca="1">AVERAGE(BF104,BE104)</f>
        <v>18006.608</v>
      </c>
      <c r="BG105" s="961">
        <f ca="1">AVERAGE(BG104,BF104)</f>
        <v>18006.608</v>
      </c>
      <c r="BH105" s="239"/>
    </row>
    <row r="106" spans="1:60" customFormat="1" hidden="1" outlineLevel="1" x14ac:dyDescent="0.25">
      <c r="A106" s="250" t="s">
        <v>363</v>
      </c>
      <c r="B106" s="251"/>
      <c r="C106" s="961">
        <f t="shared" ref="C106:AH106" si="176">SUM(INDEX(SP_BSR_Debt_Avg,0,COLUMN()),INDEX(SP_BSR_SE_Avg,0,COLUMN()))</f>
        <v>437.125</v>
      </c>
      <c r="D106" s="961">
        <f t="shared" si="176"/>
        <v>463.64449999999999</v>
      </c>
      <c r="E106" s="961">
        <f t="shared" si="176"/>
        <v>766.48699999999997</v>
      </c>
      <c r="F106" s="961">
        <f t="shared" si="176"/>
        <v>1093.7415000000001</v>
      </c>
      <c r="G106" s="962">
        <f t="shared" si="176"/>
        <v>0</v>
      </c>
      <c r="H106" s="962">
        <f t="shared" si="176"/>
        <v>0</v>
      </c>
      <c r="I106" s="962">
        <f t="shared" si="176"/>
        <v>0</v>
      </c>
      <c r="J106" s="962">
        <f t="shared" si="176"/>
        <v>1664.1180000000002</v>
      </c>
      <c r="K106" s="961">
        <f t="shared" si="176"/>
        <v>1489.1170000000002</v>
      </c>
      <c r="L106" s="962">
        <f t="shared" si="176"/>
        <v>1880.4777500000002</v>
      </c>
      <c r="M106" s="962">
        <f t="shared" si="176"/>
        <v>2106.4984999999997</v>
      </c>
      <c r="N106" s="962">
        <f t="shared" si="176"/>
        <v>2336.6244999999999</v>
      </c>
      <c r="O106" s="962">
        <f t="shared" si="176"/>
        <v>2567.6612500000001</v>
      </c>
      <c r="P106" s="961">
        <f t="shared" si="176"/>
        <v>2295.6345000000001</v>
      </c>
      <c r="Q106" s="962">
        <f t="shared" si="176"/>
        <v>3050.3752500000001</v>
      </c>
      <c r="R106" s="962">
        <f t="shared" si="176"/>
        <v>3530.9677499999998</v>
      </c>
      <c r="S106" s="962">
        <f t="shared" si="176"/>
        <v>4016.5787500000001</v>
      </c>
      <c r="T106" s="962">
        <f t="shared" si="176"/>
        <v>4475.8487500000001</v>
      </c>
      <c r="U106" s="961">
        <f t="shared" si="176"/>
        <v>3676.248</v>
      </c>
      <c r="V106" s="962">
        <f t="shared" si="176"/>
        <v>4570.9079999999994</v>
      </c>
      <c r="W106" s="962">
        <f t="shared" si="176"/>
        <v>4660.1189999999997</v>
      </c>
      <c r="X106" s="962">
        <f t="shared" si="176"/>
        <v>4744.0224999999991</v>
      </c>
      <c r="Y106" s="962">
        <f t="shared" si="176"/>
        <v>5106.3532500000001</v>
      </c>
      <c r="Z106" s="961">
        <f t="shared" si="176"/>
        <v>5319.4495000000006</v>
      </c>
      <c r="AA106" s="962">
        <f t="shared" si="176"/>
        <v>5518.7690000000002</v>
      </c>
      <c r="AB106" s="962">
        <f t="shared" si="176"/>
        <v>6308.7897499999999</v>
      </c>
      <c r="AC106" s="962">
        <f t="shared" si="176"/>
        <v>7137.0927500000007</v>
      </c>
      <c r="AD106" s="962">
        <f t="shared" si="176"/>
        <v>8146.4120000000003</v>
      </c>
      <c r="AE106" s="961">
        <f t="shared" si="176"/>
        <v>8062.7494999999999</v>
      </c>
      <c r="AF106" s="962">
        <f t="shared" si="176"/>
        <v>9202.4092500000006</v>
      </c>
      <c r="AG106" s="962">
        <f t="shared" si="176"/>
        <v>10424.825499999999</v>
      </c>
      <c r="AH106" s="962">
        <f t="shared" si="176"/>
        <v>11707.349249999999</v>
      </c>
      <c r="AI106" s="962">
        <f t="shared" ref="AI106:AY106" si="177">SUM(INDEX(SP_BSR_Debt_Avg,0,COLUMN()),INDEX(SP_BSR_SE_Avg,0,COLUMN()))</f>
        <v>13086.708000000001</v>
      </c>
      <c r="AJ106" s="961">
        <f t="shared" si="177"/>
        <v>12840.105500000001</v>
      </c>
      <c r="AK106" s="962">
        <f t="shared" si="177"/>
        <v>14669.833000000001</v>
      </c>
      <c r="AL106" s="962">
        <f t="shared" si="177"/>
        <v>16406.072500000002</v>
      </c>
      <c r="AM106" s="962">
        <f t="shared" si="177"/>
        <v>18169.730250000001</v>
      </c>
      <c r="AN106" s="962">
        <f t="shared" si="177"/>
        <v>20258.687249999999</v>
      </c>
      <c r="AO106" s="961">
        <f t="shared" si="177"/>
        <v>19776.737000000001</v>
      </c>
      <c r="AP106" s="962">
        <f t="shared" si="177"/>
        <v>22203.485250000002</v>
      </c>
      <c r="AQ106" s="962">
        <f t="shared" si="177"/>
        <v>24018.307000000001</v>
      </c>
      <c r="AR106" s="962">
        <f>SUM(INDEX(SP_BSR_Debt_Avg,0,COLUMN()),INDEX(SP_BSR_SE_Avg,0,COLUMN()))</f>
        <v>26035.7035</v>
      </c>
      <c r="AS106" s="962">
        <f>SUM(INDEX(SP_BSR_Debt_Avg,0,COLUMN()),INDEX(SP_BSR_SE_Avg,0,COLUMN()))</f>
        <v>27441.057250000002</v>
      </c>
      <c r="AT106" s="961">
        <f>SUM(INDEX(SP_BSR_Debt_Avg,0,COLUMN()),INDEX(SP_BSR_SE_Avg,0,COLUMN()))</f>
        <v>26765.358499999998</v>
      </c>
      <c r="AU106" s="962">
        <f t="shared" si="177"/>
        <v>28928.20825</v>
      </c>
      <c r="AV106" s="962">
        <f>SUM(INDEX(SP_BSR_Debt_Avg,0,COLUMN()),INDEX(SP_BSR_SE_Avg,0,COLUMN()))</f>
        <v>30119.228999999999</v>
      </c>
      <c r="AW106" s="963">
        <f>SUM(INDEX(SP_BSR_Debt_Avg,0,COLUMN()),INDEX(SP_BSR_SE_Avg,0,COLUMN()))</f>
        <v>31331.921249999999</v>
      </c>
      <c r="AX106" s="962">
        <f t="shared" ca="1" si="177"/>
        <v>32380.899555413904</v>
      </c>
      <c r="AY106" s="961">
        <f t="shared" ca="1" si="177"/>
        <v>31674.022610827811</v>
      </c>
      <c r="AZ106" s="962">
        <f t="shared" ref="AZ106:BG106" ca="1" si="178">SUM(INDEX(SP_BSR_Debt_Avg,0,COLUMN()),INDEX(SP_BSR_SE_Avg,0,COLUMN()))</f>
        <v>33603.534378480806</v>
      </c>
      <c r="BA106" s="962">
        <f t="shared" ca="1" si="178"/>
        <v>34957.299889832917</v>
      </c>
      <c r="BB106" s="962">
        <f t="shared" ca="1" si="178"/>
        <v>36361.808044671125</v>
      </c>
      <c r="BC106" s="962">
        <f t="shared" ca="1" si="178"/>
        <v>37948.0523113983</v>
      </c>
      <c r="BD106" s="961">
        <f t="shared" ca="1" si="178"/>
        <v>36944.467755109967</v>
      </c>
      <c r="BE106" s="961">
        <f t="shared" ca="1" si="178"/>
        <v>44210.104519067652</v>
      </c>
      <c r="BF106" s="961">
        <f t="shared" ca="1" si="178"/>
        <v>53454.339341482286</v>
      </c>
      <c r="BG106" s="961">
        <f t="shared" ca="1" si="178"/>
        <v>65230.852868554772</v>
      </c>
      <c r="BH106" s="239"/>
    </row>
    <row r="107" spans="1:60" customFormat="1" collapsed="1" x14ac:dyDescent="0.25">
      <c r="A107" s="260" t="s">
        <v>364</v>
      </c>
      <c r="B107" s="160"/>
      <c r="C107" s="127">
        <f>IF(C106&lt;0,"NMF",IF(ABS(C100/C106)&gt;1,"NMF",C100/C106))</f>
        <v>0.27397964988971574</v>
      </c>
      <c r="D107" s="127">
        <f>IF(D106&lt;0,"NMF",IF(ABS(D100/D106)&gt;1,"NMF",D100/D106))</f>
        <v>0.37237077302282479</v>
      </c>
      <c r="E107" s="127">
        <f>IF(E106&lt;0,"NMF",IF(ABS(E100/E106)&gt;1,"NMF",E100/E106))</f>
        <v>0.3114481812311588</v>
      </c>
      <c r="F107" s="127">
        <f>IF(F106&lt;0,"NMF",IF(ABS(F100/F106)&gt;1,"NMF",F100/F106))</f>
        <v>2.5964741175707476E-2</v>
      </c>
      <c r="G107" s="128"/>
      <c r="H107" s="128"/>
      <c r="I107" s="128"/>
      <c r="J107" s="128">
        <f t="shared" ref="J107:AY107" si="179">IF(J106&lt;0,"NMF",IF(ABS(J100/J106)&gt;1,"NMF",J100/J106))</f>
        <v>8.7911348780621734E-2</v>
      </c>
      <c r="K107" s="127">
        <f t="shared" si="179"/>
        <v>8.8341313344772382E-2</v>
      </c>
      <c r="L107" s="128">
        <f t="shared" si="179"/>
        <v>9.7440995752885506E-2</v>
      </c>
      <c r="M107" s="128">
        <f t="shared" si="179"/>
        <v>0.10827972215791287</v>
      </c>
      <c r="N107" s="128">
        <f t="shared" si="179"/>
        <v>0.11083564474991761</v>
      </c>
      <c r="O107" s="128">
        <f t="shared" si="179"/>
        <v>0.12210453326766954</v>
      </c>
      <c r="P107" s="127">
        <f t="shared" si="179"/>
        <v>0.13292587420859839</v>
      </c>
      <c r="Q107" s="128">
        <f t="shared" si="179"/>
        <v>9.6574703045957638E-2</v>
      </c>
      <c r="R107" s="128">
        <f t="shared" si="179"/>
        <v>7.4978635401858076E-2</v>
      </c>
      <c r="S107" s="128">
        <f t="shared" si="179"/>
        <v>6.2567227437414732E-2</v>
      </c>
      <c r="T107" s="128">
        <f t="shared" si="179"/>
        <v>5.8189035047212602E-2</v>
      </c>
      <c r="U107" s="127">
        <f t="shared" si="179"/>
        <v>6.4564904313419269E-2</v>
      </c>
      <c r="V107" s="128">
        <f t="shared" si="179"/>
        <v>5.963063377472233E-2</v>
      </c>
      <c r="W107" s="128">
        <f t="shared" si="179"/>
        <v>6.2720534282727294E-2</v>
      </c>
      <c r="X107" s="128">
        <f t="shared" si="179"/>
        <v>6.5953729324465762E-2</v>
      </c>
      <c r="Y107" s="128">
        <f t="shared" si="179"/>
        <v>5.7750477968987197E-2</v>
      </c>
      <c r="Z107" s="127">
        <f t="shared" si="179"/>
        <v>5.5315673916202943E-2</v>
      </c>
      <c r="AA107" s="128">
        <f t="shared" si="179"/>
        <v>8.2996010979792173E-2</v>
      </c>
      <c r="AB107" s="128">
        <f t="shared" si="179"/>
        <v>0.11339048979297869</v>
      </c>
      <c r="AC107" s="128">
        <f t="shared" si="179"/>
        <v>0.11740818564717057</v>
      </c>
      <c r="AD107" s="128">
        <f t="shared" si="179"/>
        <v>0.12654046255147805</v>
      </c>
      <c r="AE107" s="127">
        <f t="shared" si="179"/>
        <v>0.10334701437589804</v>
      </c>
      <c r="AF107" s="128">
        <f t="shared" si="179"/>
        <v>0.12868093142264789</v>
      </c>
      <c r="AG107" s="128">
        <f t="shared" si="179"/>
        <v>0.12790145275609924</v>
      </c>
      <c r="AH107" s="128">
        <f t="shared" si="179"/>
        <v>0.14133873445329359</v>
      </c>
      <c r="AI107" s="128">
        <f t="shared" si="179"/>
        <v>0.12541368075586182</v>
      </c>
      <c r="AJ107" s="127">
        <f t="shared" si="179"/>
        <v>0.12667482920148998</v>
      </c>
      <c r="AK107" s="128">
        <f t="shared" si="179"/>
        <v>0.11814765059737802</v>
      </c>
      <c r="AL107" s="128">
        <f t="shared" si="179"/>
        <v>9.8167625638527614E-2</v>
      </c>
      <c r="AM107" s="128">
        <f t="shared" si="179"/>
        <v>0.10252023307414046</v>
      </c>
      <c r="AN107" s="128">
        <f t="shared" si="179"/>
        <v>0.14167634265384713</v>
      </c>
      <c r="AO107" s="127">
        <f t="shared" si="179"/>
        <v>0.12305609500411616</v>
      </c>
      <c r="AP107" s="128">
        <f t="shared" si="179"/>
        <v>0.14783829262904999</v>
      </c>
      <c r="AQ107" s="128">
        <f t="shared" si="179"/>
        <v>0.15744111314492715</v>
      </c>
      <c r="AR107" s="128">
        <f>IF(AR106&lt;0,"NMF",IF(ABS(AR100/AR106)&gt;1,"NMF",AR100/AR106))</f>
        <v>0.15291882888868627</v>
      </c>
      <c r="AS107" s="128">
        <f>IF(AS106&lt;0,"NMF",IF(ABS(AS100/AS106)&gt;1,"NMF",AS100/AS106))</f>
        <v>0.12567921399568657</v>
      </c>
      <c r="AT107" s="127">
        <f>IF(AT106&lt;0,"NMF",IF(ABS(AT100/AT106)&gt;1,"NMF",AT100/AT106))</f>
        <v>0.12792028299079342</v>
      </c>
      <c r="AU107" s="128">
        <f t="shared" ref="AU107" si="180">IF(AU106&lt;0,"NMF",IF(ABS(AU100/AU106)&gt;1,"NMF",AU100/AU106))</f>
        <v>0.1536744268267225</v>
      </c>
      <c r="AV107" s="128">
        <f>IF(AV106&lt;0,"NMF",IF(ABS(AV100/AV106)&gt;1,"NMF",AV100/AV106))</f>
        <v>0.16963312435196287</v>
      </c>
      <c r="AW107" s="623">
        <f>IF(AW106&lt;0,"NMF",IF(ABS(AW100/AW106)&gt;1,"NMF",AW100/AW106))</f>
        <v>0.18363778376203108</v>
      </c>
      <c r="AX107" s="128">
        <f t="shared" ca="1" si="179"/>
        <v>0.17040352432938088</v>
      </c>
      <c r="AY107" s="127">
        <f t="shared" ca="1" si="179"/>
        <v>0.17369489527192716</v>
      </c>
      <c r="AZ107" s="128">
        <f t="shared" ref="AZ107:BG107" ca="1" si="181">IF(AZ106&lt;0,"NMF",IF(ABS(AZ100/AZ106)&gt;1,"NMF",AZ100/AZ106))</f>
        <v>0.16129699523259156</v>
      </c>
      <c r="BA107" s="128">
        <f t="shared" ca="1" si="181"/>
        <v>0.16132506438625899</v>
      </c>
      <c r="BB107" s="128">
        <f t="shared" ca="1" si="181"/>
        <v>0.15853376192325774</v>
      </c>
      <c r="BC107" s="128">
        <f t="shared" ca="1" si="181"/>
        <v>0.16974429554402154</v>
      </c>
      <c r="BD107" s="127">
        <f t="shared" ca="1" si="181"/>
        <v>0.17435534460974964</v>
      </c>
      <c r="BE107" s="127">
        <f t="shared" ca="1" si="181"/>
        <v>0.1855341317330344</v>
      </c>
      <c r="BF107" s="127">
        <f t="shared" ca="1" si="181"/>
        <v>0.19064759241198309</v>
      </c>
      <c r="BG107" s="127">
        <f t="shared" ca="1" si="181"/>
        <v>0.19889738670106172</v>
      </c>
      <c r="BH107" s="372"/>
    </row>
    <row r="108" spans="1:60" customFormat="1" hidden="1" outlineLevel="1" x14ac:dyDescent="0.25">
      <c r="A108" s="250" t="s">
        <v>87</v>
      </c>
      <c r="B108" s="251"/>
      <c r="C108" s="961">
        <f t="shared" ref="C108:AH108" si="182">INDEX(MO_RIS_EBIT,0,COLUMN())</f>
        <v>191.93900000000002</v>
      </c>
      <c r="D108" s="961">
        <f t="shared" si="182"/>
        <v>283.64099999999996</v>
      </c>
      <c r="E108" s="961">
        <f t="shared" si="182"/>
        <v>376.0680000000001</v>
      </c>
      <c r="F108" s="961">
        <f t="shared" si="182"/>
        <v>49.992000000000189</v>
      </c>
      <c r="G108" s="962">
        <f t="shared" si="182"/>
        <v>31.822000000000031</v>
      </c>
      <c r="H108" s="962">
        <f t="shared" si="182"/>
        <v>57.117000000000075</v>
      </c>
      <c r="I108" s="962">
        <f t="shared" si="182"/>
        <v>57.120000000000061</v>
      </c>
      <c r="J108" s="962">
        <f t="shared" si="182"/>
        <v>82.287999999999101</v>
      </c>
      <c r="K108" s="961">
        <f t="shared" si="182"/>
        <v>228.34699999999998</v>
      </c>
      <c r="L108" s="962">
        <f t="shared" si="182"/>
        <v>97.594999999999914</v>
      </c>
      <c r="M108" s="962">
        <f t="shared" si="182"/>
        <v>129.59999999999997</v>
      </c>
      <c r="N108" s="962">
        <f t="shared" si="182"/>
        <v>110.40700000000004</v>
      </c>
      <c r="O108" s="962">
        <f t="shared" si="182"/>
        <v>65.045999999999708</v>
      </c>
      <c r="P108" s="961">
        <f t="shared" si="182"/>
        <v>402.64799999999968</v>
      </c>
      <c r="Q108" s="962">
        <f t="shared" si="182"/>
        <v>97.45599999999979</v>
      </c>
      <c r="R108" s="962">
        <f t="shared" si="182"/>
        <v>74.83499999999998</v>
      </c>
      <c r="S108" s="962">
        <f t="shared" si="182"/>
        <v>73.640999999999906</v>
      </c>
      <c r="T108" s="962">
        <f t="shared" si="182"/>
        <v>59.894000000000801</v>
      </c>
      <c r="U108" s="961">
        <f t="shared" si="182"/>
        <v>305.8260000000007</v>
      </c>
      <c r="V108" s="962">
        <f t="shared" si="182"/>
        <v>49.453000000000145</v>
      </c>
      <c r="W108" s="962">
        <f t="shared" si="182"/>
        <v>70.370000000000232</v>
      </c>
      <c r="X108" s="962">
        <f t="shared" si="182"/>
        <v>106.03600000000006</v>
      </c>
      <c r="Y108" s="962">
        <f t="shared" si="182"/>
        <v>153.93399999999929</v>
      </c>
      <c r="Z108" s="961">
        <f t="shared" si="182"/>
        <v>379.79299999999967</v>
      </c>
      <c r="AA108" s="962">
        <f t="shared" si="182"/>
        <v>256.94200000000023</v>
      </c>
      <c r="AB108" s="962">
        <f t="shared" si="182"/>
        <v>127.80700000000002</v>
      </c>
      <c r="AC108" s="962">
        <f t="shared" si="182"/>
        <v>208.62699999999984</v>
      </c>
      <c r="AD108" s="962">
        <f t="shared" si="182"/>
        <v>245.30299999999988</v>
      </c>
      <c r="AE108" s="961">
        <f t="shared" si="182"/>
        <v>838.67899999999963</v>
      </c>
      <c r="AF108" s="962">
        <f t="shared" si="182"/>
        <v>446.57800000000009</v>
      </c>
      <c r="AG108" s="962">
        <f t="shared" si="182"/>
        <v>462.21299999999997</v>
      </c>
      <c r="AH108" s="962">
        <f t="shared" si="182"/>
        <v>480.66799999999967</v>
      </c>
      <c r="AI108" s="962">
        <f t="shared" ref="AI108:AY108" si="183">INDEX(MO_RIS_EBIT,0,COLUMN())</f>
        <v>215.76700000000005</v>
      </c>
      <c r="AJ108" s="961">
        <f t="shared" si="183"/>
        <v>1605.2259999999997</v>
      </c>
      <c r="AK108" s="962">
        <f t="shared" si="183"/>
        <v>459.08400000000029</v>
      </c>
      <c r="AL108" s="962">
        <f t="shared" si="183"/>
        <v>706.41899999999987</v>
      </c>
      <c r="AM108" s="962">
        <f t="shared" si="183"/>
        <v>980.23899999999981</v>
      </c>
      <c r="AN108" s="962">
        <f t="shared" si="183"/>
        <v>458.5120000000004</v>
      </c>
      <c r="AO108" s="961">
        <f t="shared" si="183"/>
        <v>2604.2540000000008</v>
      </c>
      <c r="AP108" s="962">
        <f t="shared" si="183"/>
        <v>958.25599999999986</v>
      </c>
      <c r="AQ108" s="962">
        <f t="shared" si="183"/>
        <v>1357.9280000000003</v>
      </c>
      <c r="AR108" s="962">
        <f>INDEX(MO_RIS_EBIT,0,COLUMN())</f>
        <v>1314.8629999999994</v>
      </c>
      <c r="AS108" s="962">
        <f>INDEX(MO_RIS_EBIT,0,COLUMN())</f>
        <v>954.24200000000337</v>
      </c>
      <c r="AT108" s="961">
        <f>INDEX(MO_RIS_EBIT,0,COLUMN())</f>
        <v>4585.2890000000007</v>
      </c>
      <c r="AU108" s="962">
        <f t="shared" si="183"/>
        <v>1959.8560000000002</v>
      </c>
      <c r="AV108" s="962">
        <f>INDEX(MO_RIS_EBIT,0,COLUMN())</f>
        <v>1847.6300000000003</v>
      </c>
      <c r="AW108" s="963">
        <f>INDEX(MO_RIS_EBIT,0,COLUMN())</f>
        <v>1755.2529999999997</v>
      </c>
      <c r="AX108" s="962">
        <f t="shared" si="183"/>
        <v>527.9109087164934</v>
      </c>
      <c r="AY108" s="961">
        <f t="shared" si="183"/>
        <v>6090.6499087164948</v>
      </c>
      <c r="AZ108" s="962">
        <f t="shared" ref="AZ108:BG108" si="184">INDEX(MO_RIS_EBIT,0,COLUMN())</f>
        <v>2187.8489996205631</v>
      </c>
      <c r="BA108" s="962">
        <f t="shared" si="184"/>
        <v>2141.6928900291905</v>
      </c>
      <c r="BB108" s="962">
        <f t="shared" si="184"/>
        <v>2148.5093808575621</v>
      </c>
      <c r="BC108" s="962">
        <f t="shared" si="184"/>
        <v>1474.3751577222924</v>
      </c>
      <c r="BD108" s="961">
        <f t="shared" si="184"/>
        <v>7952.4264282296081</v>
      </c>
      <c r="BE108" s="961">
        <f t="shared" si="184"/>
        <v>10126.522661446814</v>
      </c>
      <c r="BF108" s="961">
        <f t="shared" si="184"/>
        <v>12581.408764724376</v>
      </c>
      <c r="BG108" s="961">
        <f t="shared" si="184"/>
        <v>16017.587861527163</v>
      </c>
      <c r="BH108" s="239"/>
    </row>
    <row r="109" spans="1:60" customFormat="1" hidden="1" outlineLevel="1" x14ac:dyDescent="0.25">
      <c r="A109" s="250" t="s">
        <v>365</v>
      </c>
      <c r="B109" s="251"/>
      <c r="C109" s="961">
        <f>C108</f>
        <v>191.93900000000002</v>
      </c>
      <c r="D109" s="961">
        <f>D108</f>
        <v>283.64099999999996</v>
      </c>
      <c r="E109" s="961">
        <f>E108</f>
        <v>376.0680000000001</v>
      </c>
      <c r="F109" s="961">
        <f>F108</f>
        <v>49.992000000000189</v>
      </c>
      <c r="G109" s="962"/>
      <c r="H109" s="962"/>
      <c r="I109" s="962"/>
      <c r="J109" s="962">
        <f>SUM(J108,I108,H108,G108)</f>
        <v>228.34699999999927</v>
      </c>
      <c r="K109" s="961">
        <f>K108</f>
        <v>228.34699999999998</v>
      </c>
      <c r="L109" s="962">
        <f>SUM(L108,J108,I108,H108)</f>
        <v>294.11999999999915</v>
      </c>
      <c r="M109" s="962">
        <f>SUM(M108,L108,J108,I108)</f>
        <v>366.60299999999904</v>
      </c>
      <c r="N109" s="962">
        <f>SUM(N108,M108,L108,J108)</f>
        <v>419.88999999999902</v>
      </c>
      <c r="O109" s="962">
        <f>SUM(O108,N108,M108,L108)</f>
        <v>402.64799999999963</v>
      </c>
      <c r="P109" s="961">
        <f>P108</f>
        <v>402.64799999999968</v>
      </c>
      <c r="Q109" s="962">
        <f>SUM(Q108,O108,N108,M108)</f>
        <v>402.5089999999995</v>
      </c>
      <c r="R109" s="962">
        <f>SUM(R108,Q108,O108,N108)</f>
        <v>347.74399999999952</v>
      </c>
      <c r="S109" s="962">
        <f>SUM(S108,R108,Q108,O108)</f>
        <v>310.97799999999938</v>
      </c>
      <c r="T109" s="962">
        <f>SUM(T108,S108,R108,Q108)</f>
        <v>305.82600000000048</v>
      </c>
      <c r="U109" s="961">
        <f>U108</f>
        <v>305.8260000000007</v>
      </c>
      <c r="V109" s="962">
        <f>SUM(V108,T108,S108,R108)</f>
        <v>257.82300000000083</v>
      </c>
      <c r="W109" s="962">
        <f>SUM(W108,V108,T108,S108)</f>
        <v>253.35800000000108</v>
      </c>
      <c r="X109" s="962">
        <f>SUM(X108,W108,V108,T108)</f>
        <v>285.75300000000124</v>
      </c>
      <c r="Y109" s="962">
        <f>SUM(Y108,X108,W108,V108)</f>
        <v>379.79299999999972</v>
      </c>
      <c r="Z109" s="961">
        <f>Z108</f>
        <v>379.79299999999967</v>
      </c>
      <c r="AA109" s="962">
        <f>SUM(AA108,Y108,X108,W108)</f>
        <v>587.28199999999981</v>
      </c>
      <c r="AB109" s="962">
        <f>SUM(AB108,AA108,Y108,X108)</f>
        <v>644.7189999999996</v>
      </c>
      <c r="AC109" s="962">
        <f>SUM(AC108,AB108,AA108,Y108)</f>
        <v>747.30999999999938</v>
      </c>
      <c r="AD109" s="962">
        <f>SUM(AD108,AC108,AB108,AA108)</f>
        <v>838.67899999999997</v>
      </c>
      <c r="AE109" s="961">
        <f>AE108</f>
        <v>838.67899999999963</v>
      </c>
      <c r="AF109" s="962">
        <f>SUM(AF108,AD108,AC108,AB108)</f>
        <v>1028.3149999999998</v>
      </c>
      <c r="AG109" s="962">
        <f>SUM(AG108,AF108,AD108,AC108)</f>
        <v>1362.721</v>
      </c>
      <c r="AH109" s="962">
        <f>SUM(AH108,AG108,AF108,AD108)</f>
        <v>1634.7619999999997</v>
      </c>
      <c r="AI109" s="962">
        <f>SUM(AI108,AH108,AG108,AF108)</f>
        <v>1605.2259999999997</v>
      </c>
      <c r="AJ109" s="961">
        <f>AJ108</f>
        <v>1605.2259999999997</v>
      </c>
      <c r="AK109" s="962">
        <f>SUM(AK108,AI108,AH108,AG108)</f>
        <v>1617.732</v>
      </c>
      <c r="AL109" s="962">
        <f>SUM(AL108,AK108,AI108,AH108)</f>
        <v>1861.9379999999999</v>
      </c>
      <c r="AM109" s="962">
        <f>SUM(AM108,AL108,AK108,AI108)</f>
        <v>2361.509</v>
      </c>
      <c r="AN109" s="962">
        <f>SUM(AN108,AM108,AL108,AK108)</f>
        <v>2604.2540000000004</v>
      </c>
      <c r="AO109" s="961">
        <f>AO108</f>
        <v>2604.2540000000008</v>
      </c>
      <c r="AP109" s="962">
        <f>SUM(AP108,AN108,AM108,AL108)</f>
        <v>3103.4259999999999</v>
      </c>
      <c r="AQ109" s="962">
        <f>SUM(AQ108,AP108,AN108,AM108)</f>
        <v>3754.9350000000004</v>
      </c>
      <c r="AR109" s="962">
        <f>SUM(AR108,AQ108,AP108,AN108)</f>
        <v>4089.5590000000002</v>
      </c>
      <c r="AS109" s="962">
        <f>SUM(AS108,AR108,AQ108,AP108)</f>
        <v>4585.2890000000025</v>
      </c>
      <c r="AT109" s="961">
        <f>AT108</f>
        <v>4585.2890000000007</v>
      </c>
      <c r="AU109" s="962">
        <f>SUM(AU108,AS108,AR108,AQ108)</f>
        <v>5586.8890000000029</v>
      </c>
      <c r="AV109" s="962">
        <f>SUM(AV108,AU108,AS108,AR108)</f>
        <v>6076.591000000004</v>
      </c>
      <c r="AW109" s="963">
        <f>SUM(AW108,AV108,AU108,AS108)</f>
        <v>6516.9810000000034</v>
      </c>
      <c r="AX109" s="962">
        <f>SUM(AX108,AW108,AV108,AU108)</f>
        <v>6090.6499087164939</v>
      </c>
      <c r="AY109" s="961">
        <f>AY108</f>
        <v>6090.6499087164948</v>
      </c>
      <c r="AZ109" s="962">
        <f>SUM(AZ108,AX108,AW108,AV108)</f>
        <v>6318.6429083370558</v>
      </c>
      <c r="BA109" s="962">
        <f>SUM(BA108,AZ108,AX108,AW108)</f>
        <v>6612.7057983662471</v>
      </c>
      <c r="BB109" s="962">
        <f>SUM(BB108,BA108,AZ108,AX108)</f>
        <v>7005.9621792238095</v>
      </c>
      <c r="BC109" s="962">
        <f>SUM(BC108,BB108,BA108,AZ108)</f>
        <v>7952.4264282296081</v>
      </c>
      <c r="BD109" s="961">
        <f>BD108</f>
        <v>7952.4264282296081</v>
      </c>
      <c r="BE109" s="961">
        <f>BE108</f>
        <v>10126.522661446814</v>
      </c>
      <c r="BF109" s="961">
        <f>BF108</f>
        <v>12581.408764724376</v>
      </c>
      <c r="BG109" s="961">
        <f>BG108</f>
        <v>16017.587861527163</v>
      </c>
      <c r="BH109" s="239"/>
    </row>
    <row r="110" spans="1:60" customFormat="1" hidden="1" outlineLevel="1" x14ac:dyDescent="0.25">
      <c r="A110" s="250" t="s">
        <v>210</v>
      </c>
      <c r="B110" s="251"/>
      <c r="C110" s="961">
        <f t="shared" ref="C110:AH110" si="185">INDEX(MO_BS_CL,0,COLUMN())</f>
        <v>227.43599999999998</v>
      </c>
      <c r="D110" s="961">
        <f t="shared" si="185"/>
        <v>388.57899999999995</v>
      </c>
      <c r="E110" s="961">
        <f t="shared" si="185"/>
        <v>1225.0550000000001</v>
      </c>
      <c r="F110" s="961">
        <f t="shared" si="185"/>
        <v>1675.9259999999999</v>
      </c>
      <c r="G110" s="962">
        <f t="shared" si="185"/>
        <v>1688.7139999999997</v>
      </c>
      <c r="H110" s="962">
        <f t="shared" si="185"/>
        <v>1670.2640000000001</v>
      </c>
      <c r="I110" s="962">
        <f t="shared" si="185"/>
        <v>1935.1360000000002</v>
      </c>
      <c r="J110" s="962">
        <f t="shared" si="185"/>
        <v>2154.203</v>
      </c>
      <c r="K110" s="961">
        <f t="shared" si="185"/>
        <v>2154.203</v>
      </c>
      <c r="L110" s="962">
        <f t="shared" si="185"/>
        <v>2263.6529999999998</v>
      </c>
      <c r="M110" s="962">
        <f t="shared" si="185"/>
        <v>2335.1239999999998</v>
      </c>
      <c r="N110" s="962">
        <f t="shared" si="185"/>
        <v>2548.6550000000002</v>
      </c>
      <c r="O110" s="962">
        <f t="shared" si="185"/>
        <v>2663.1540000000005</v>
      </c>
      <c r="P110" s="961">
        <f t="shared" si="185"/>
        <v>2663.1540000000005</v>
      </c>
      <c r="Q110" s="962">
        <f t="shared" si="185"/>
        <v>3008.8490000000002</v>
      </c>
      <c r="R110" s="962">
        <f t="shared" si="185"/>
        <v>3220.0689999999995</v>
      </c>
      <c r="S110" s="962">
        <f t="shared" si="185"/>
        <v>3341.4179999999997</v>
      </c>
      <c r="T110" s="962">
        <f t="shared" si="185"/>
        <v>3529.6240000000003</v>
      </c>
      <c r="U110" s="961">
        <f t="shared" si="185"/>
        <v>3529.6240000000003</v>
      </c>
      <c r="V110" s="962">
        <f t="shared" si="185"/>
        <v>3933.6319999999996</v>
      </c>
      <c r="W110" s="962">
        <f t="shared" si="185"/>
        <v>4051.837</v>
      </c>
      <c r="X110" s="962">
        <f t="shared" si="185"/>
        <v>4411.4049999999997</v>
      </c>
      <c r="Y110" s="962">
        <f t="shared" si="185"/>
        <v>4586.6569999999992</v>
      </c>
      <c r="Z110" s="961">
        <f t="shared" si="185"/>
        <v>4586.6569999999992</v>
      </c>
      <c r="AA110" s="962">
        <f t="shared" si="185"/>
        <v>4911.2290000000003</v>
      </c>
      <c r="AB110" s="962">
        <f t="shared" si="185"/>
        <v>5122.9449999999997</v>
      </c>
      <c r="AC110" s="962">
        <f t="shared" si="185"/>
        <v>5310.6770000000006</v>
      </c>
      <c r="AD110" s="962">
        <f t="shared" si="185"/>
        <v>5466.3120000000008</v>
      </c>
      <c r="AE110" s="961">
        <f t="shared" si="185"/>
        <v>5466.3120000000008</v>
      </c>
      <c r="AF110" s="962">
        <f t="shared" si="185"/>
        <v>6005.5869999999995</v>
      </c>
      <c r="AG110" s="962">
        <f t="shared" si="185"/>
        <v>6079.6410000000005</v>
      </c>
      <c r="AH110" s="962">
        <f t="shared" si="185"/>
        <v>6298.24</v>
      </c>
      <c r="AI110" s="962">
        <f t="shared" ref="AI110:AY110" si="186">INDEX(MO_BS_CL,0,COLUMN())</f>
        <v>6487.3200000000006</v>
      </c>
      <c r="AJ110" s="961">
        <f t="shared" si="186"/>
        <v>6487.3200000000006</v>
      </c>
      <c r="AK110" s="962">
        <f t="shared" si="186"/>
        <v>6857.8069999999998</v>
      </c>
      <c r="AL110" s="962">
        <f t="shared" si="186"/>
        <v>6933.9840000000004</v>
      </c>
      <c r="AM110" s="962">
        <f t="shared" si="186"/>
        <v>7257.9</v>
      </c>
      <c r="AN110" s="962">
        <f t="shared" si="186"/>
        <v>6855.6959999999999</v>
      </c>
      <c r="AO110" s="961">
        <f t="shared" si="186"/>
        <v>6855.6959999999999</v>
      </c>
      <c r="AP110" s="962">
        <f t="shared" si="186"/>
        <v>7853.7250000000004</v>
      </c>
      <c r="AQ110" s="962">
        <f t="shared" si="186"/>
        <v>7626.4179999999997</v>
      </c>
      <c r="AR110" s="962">
        <f>INDEX(MO_BS_CL,0,COLUMN())</f>
        <v>7939.7950000000001</v>
      </c>
      <c r="AS110" s="962">
        <f>INDEX(MO_BS_CL,0,COLUMN())</f>
        <v>7805.7849999999999</v>
      </c>
      <c r="AT110" s="961">
        <f>INDEX(MO_BS_CL,0,COLUMN())</f>
        <v>7805.7849999999999</v>
      </c>
      <c r="AU110" s="962">
        <f t="shared" si="186"/>
        <v>7961.77</v>
      </c>
      <c r="AV110" s="962">
        <f>INDEX(MO_BS_CL,0,COLUMN())</f>
        <v>7832.8880000000008</v>
      </c>
      <c r="AW110" s="963">
        <f>INDEX(MO_BS_CL,0,COLUMN())</f>
        <v>8049.246000000001</v>
      </c>
      <c r="AX110" s="962">
        <f t="shared" si="186"/>
        <v>8229.4659177611393</v>
      </c>
      <c r="AY110" s="961">
        <f t="shared" si="186"/>
        <v>8229.4659177611393</v>
      </c>
      <c r="AZ110" s="962">
        <f t="shared" ref="AZ110:BG110" si="187">INDEX(MO_BS_CL,0,COLUMN())</f>
        <v>8242.2411208749691</v>
      </c>
      <c r="BA110" s="962">
        <f t="shared" si="187"/>
        <v>8155.6968756477399</v>
      </c>
      <c r="BB110" s="962">
        <f t="shared" si="187"/>
        <v>8476.7595240071132</v>
      </c>
      <c r="BC110" s="962">
        <f t="shared" si="187"/>
        <v>8654.5052610190578</v>
      </c>
      <c r="BD110" s="961">
        <f t="shared" si="187"/>
        <v>8654.5052610190578</v>
      </c>
      <c r="BE110" s="961">
        <f t="shared" si="187"/>
        <v>9148.7677599554718</v>
      </c>
      <c r="BF110" s="961">
        <f t="shared" si="187"/>
        <v>9748.6470939835799</v>
      </c>
      <c r="BG110" s="961">
        <f t="shared" si="187"/>
        <v>10444.417367905822</v>
      </c>
      <c r="BH110" s="239"/>
    </row>
    <row r="111" spans="1:60" customFormat="1" hidden="1" outlineLevel="1" x14ac:dyDescent="0.25">
      <c r="A111" s="250" t="s">
        <v>366</v>
      </c>
      <c r="B111" s="251"/>
      <c r="C111" s="961">
        <f>C110</f>
        <v>227.43599999999998</v>
      </c>
      <c r="D111" s="961">
        <f>AVERAGE(D110,C110)</f>
        <v>308.00749999999994</v>
      </c>
      <c r="E111" s="961">
        <f>AVERAGE(E110,D110)</f>
        <v>806.81700000000001</v>
      </c>
      <c r="F111" s="961">
        <f>AVERAGE(F110,E110)</f>
        <v>1450.4904999999999</v>
      </c>
      <c r="G111" s="962"/>
      <c r="H111" s="962"/>
      <c r="I111" s="962"/>
      <c r="J111" s="962">
        <f>AVERAGE(J110,I110,H110,G110)</f>
        <v>1862.07925</v>
      </c>
      <c r="K111" s="961">
        <f>AVERAGE(K110,F110)</f>
        <v>1915.0645</v>
      </c>
      <c r="L111" s="962">
        <f>AVERAGE(L110,J110,I110,H110)</f>
        <v>2005.8140000000001</v>
      </c>
      <c r="M111" s="962">
        <f>AVERAGE(M110,L110,J110,I110)</f>
        <v>2172.029</v>
      </c>
      <c r="N111" s="962">
        <f>AVERAGE(N110,M110,L110,J110)</f>
        <v>2325.4087500000001</v>
      </c>
      <c r="O111" s="962">
        <f>AVERAGE(O110,N110,M110,L110)</f>
        <v>2452.6465000000003</v>
      </c>
      <c r="P111" s="961">
        <f>AVERAGE(P110,K110)</f>
        <v>2408.6785</v>
      </c>
      <c r="Q111" s="962">
        <f>AVERAGE(Q110,O110,N110,M110)</f>
        <v>2638.9455000000003</v>
      </c>
      <c r="R111" s="962">
        <f>AVERAGE(R110,Q110,O110,N110)</f>
        <v>2860.1817500000002</v>
      </c>
      <c r="S111" s="962">
        <f>AVERAGE(S110,R110,Q110,O110)</f>
        <v>3058.3724999999999</v>
      </c>
      <c r="T111" s="962">
        <f>AVERAGE(T110,S110,R110,Q110)</f>
        <v>3274.99</v>
      </c>
      <c r="U111" s="961">
        <f>AVERAGE(U110,P110)</f>
        <v>3096.3890000000001</v>
      </c>
      <c r="V111" s="962">
        <f>AVERAGE(V110,T110,S110,R110)</f>
        <v>3506.1857499999996</v>
      </c>
      <c r="W111" s="962">
        <f>AVERAGE(W110,V110,T110,S110)</f>
        <v>3714.1277499999997</v>
      </c>
      <c r="X111" s="962">
        <f>AVERAGE(X110,W110,V110,T110)</f>
        <v>3981.6244999999999</v>
      </c>
      <c r="Y111" s="962">
        <f>AVERAGE(Y110,X110,W110,V110)</f>
        <v>4245.8827499999989</v>
      </c>
      <c r="Z111" s="961">
        <f>AVERAGE(Z110,U110)</f>
        <v>4058.1404999999995</v>
      </c>
      <c r="AA111" s="962">
        <f>AVERAGE(AA110,Y110,X110,W110)</f>
        <v>4490.2819999999992</v>
      </c>
      <c r="AB111" s="962">
        <f>AVERAGE(AB110,AA110,Y110,X110)</f>
        <v>4758.0589999999993</v>
      </c>
      <c r="AC111" s="962">
        <f>AVERAGE(AC110,AB110,AA110,Y110)</f>
        <v>4982.8769999999995</v>
      </c>
      <c r="AD111" s="962">
        <f>AVERAGE(AD110,AC110,AB110,AA110)</f>
        <v>5202.7907500000001</v>
      </c>
      <c r="AE111" s="961">
        <f>AVERAGE(AE110,Z110)</f>
        <v>5026.4845000000005</v>
      </c>
      <c r="AF111" s="962">
        <f>AVERAGE(AF110,AD110,AC110,AB110)</f>
        <v>5476.3802500000002</v>
      </c>
      <c r="AG111" s="962">
        <f>AVERAGE(AG110,AF110,AD110,AC110)</f>
        <v>5715.5542500000001</v>
      </c>
      <c r="AH111" s="962">
        <f>AVERAGE(AH110,AG110,AF110,AD110)</f>
        <v>5962.4450000000006</v>
      </c>
      <c r="AI111" s="962">
        <f>AVERAGE(AI110,AH110,AG110,AF110)</f>
        <v>6217.6970000000001</v>
      </c>
      <c r="AJ111" s="961">
        <f>AVERAGE(AJ110,AE110)</f>
        <v>5976.8160000000007</v>
      </c>
      <c r="AK111" s="962">
        <f>AVERAGE(AK110,AI110,AH110,AG110)</f>
        <v>6430.7519999999995</v>
      </c>
      <c r="AL111" s="962">
        <f>AVERAGE(AL110,AK110,AI110,AH110)</f>
        <v>6644.3377500000006</v>
      </c>
      <c r="AM111" s="962">
        <f>AVERAGE(AM110,AL110,AK110,AI110)</f>
        <v>6884.2527499999997</v>
      </c>
      <c r="AN111" s="962">
        <f>AVERAGE(AN110,AM110,AL110,AK110)</f>
        <v>6976.3467500000006</v>
      </c>
      <c r="AO111" s="961">
        <f>AVERAGE(AO110,AJ110)</f>
        <v>6671.5079999999998</v>
      </c>
      <c r="AP111" s="962">
        <f>AVERAGE(AP110,AN110,AM110,AL110)</f>
        <v>7225.3262500000001</v>
      </c>
      <c r="AQ111" s="962">
        <f>AVERAGE(AQ110,AP110,AN110,AM110)</f>
        <v>7398.4347500000003</v>
      </c>
      <c r="AR111" s="962">
        <f>AVERAGE(AR110,AQ110,AP110,AN110)</f>
        <v>7568.9085000000005</v>
      </c>
      <c r="AS111" s="962">
        <f>AVERAGE(AS110,AR110,AQ110,AP110)</f>
        <v>7806.4307499999995</v>
      </c>
      <c r="AT111" s="961">
        <f>AVERAGE(AT110,AO110)</f>
        <v>7330.7404999999999</v>
      </c>
      <c r="AU111" s="962">
        <f>AVERAGE(AU110,AS110,AR110,AQ110)</f>
        <v>7833.4419999999991</v>
      </c>
      <c r="AV111" s="962">
        <f>AVERAGE(AV110,AU110,AS110,AR110)</f>
        <v>7885.0594999999994</v>
      </c>
      <c r="AW111" s="963">
        <f>AVERAGE(AW110,AV110,AU110,AS110)</f>
        <v>7912.4222500000005</v>
      </c>
      <c r="AX111" s="962">
        <f>AVERAGE(AX110,AW110,AV110,AU110)</f>
        <v>8018.3424794402854</v>
      </c>
      <c r="AY111" s="961">
        <f>AVERAGE(AY110,AT110)</f>
        <v>8017.6254588805696</v>
      </c>
      <c r="AZ111" s="962">
        <f>AVERAGE(AZ110,AX110,AW110,AV110)</f>
        <v>8088.4602596590266</v>
      </c>
      <c r="BA111" s="962">
        <f>AVERAGE(BA110,AZ110,AX110,AW110)</f>
        <v>8169.1624785709628</v>
      </c>
      <c r="BB111" s="962">
        <f>AVERAGE(BB110,BA110,AZ110,AX110)</f>
        <v>8276.0408595727404</v>
      </c>
      <c r="BC111" s="962">
        <f>AVERAGE(BC110,BB110,BA110,AZ110)</f>
        <v>8382.3006953872209</v>
      </c>
      <c r="BD111" s="961">
        <f>AVERAGE(BD110,AY110)</f>
        <v>8441.9855893900985</v>
      </c>
      <c r="BE111" s="961">
        <f>AVERAGE(BE110,BD110)</f>
        <v>8901.6365104872639</v>
      </c>
      <c r="BF111" s="961">
        <f>AVERAGE(BF110,BE110)</f>
        <v>9448.7074269695258</v>
      </c>
      <c r="BG111" s="961">
        <f>AVERAGE(BG110,BF110)</f>
        <v>10096.5322309447</v>
      </c>
      <c r="BH111" s="239"/>
    </row>
    <row r="112" spans="1:60" customFormat="1" hidden="1" outlineLevel="1" x14ac:dyDescent="0.25">
      <c r="A112" s="250" t="s">
        <v>367</v>
      </c>
      <c r="B112" s="251"/>
      <c r="C112" s="961">
        <f t="shared" ref="C112:AH112" si="188">INDEX(SP_BSR_TA_Avg,0,COLUMN())-INDEX(SP_BSR_CL_Avg,0,COLUMN())</f>
        <v>452.29799999999994</v>
      </c>
      <c r="D112" s="961">
        <f t="shared" si="188"/>
        <v>522.89300000000003</v>
      </c>
      <c r="E112" s="961">
        <f t="shared" si="188"/>
        <v>1218.8145</v>
      </c>
      <c r="F112" s="961">
        <f t="shared" si="188"/>
        <v>2068.0524999999998</v>
      </c>
      <c r="G112" s="962">
        <f t="shared" si="188"/>
        <v>0</v>
      </c>
      <c r="H112" s="962">
        <f t="shared" si="188"/>
        <v>0</v>
      </c>
      <c r="I112" s="962">
        <f t="shared" si="188"/>
        <v>0</v>
      </c>
      <c r="J112" s="962">
        <f t="shared" si="188"/>
        <v>2927.4027500000002</v>
      </c>
      <c r="K112" s="961">
        <f t="shared" si="188"/>
        <v>2775.1619999999998</v>
      </c>
      <c r="L112" s="962">
        <f t="shared" si="188"/>
        <v>3204.8722500000003</v>
      </c>
      <c r="M112" s="962">
        <f t="shared" si="188"/>
        <v>3499.9250000000006</v>
      </c>
      <c r="N112" s="962">
        <f t="shared" si="188"/>
        <v>3815.7962499999999</v>
      </c>
      <c r="O112" s="962">
        <f t="shared" si="188"/>
        <v>4099.5805</v>
      </c>
      <c r="P112" s="961">
        <f t="shared" si="188"/>
        <v>3825.9285</v>
      </c>
      <c r="Q112" s="962">
        <f t="shared" si="188"/>
        <v>4711.4115000000002</v>
      </c>
      <c r="R112" s="962">
        <f t="shared" si="188"/>
        <v>5322.4349999999995</v>
      </c>
      <c r="S112" s="962">
        <f t="shared" si="188"/>
        <v>5908.7287500000002</v>
      </c>
      <c r="T112" s="962">
        <f t="shared" si="188"/>
        <v>6478.6662500000002</v>
      </c>
      <c r="U112" s="961">
        <f t="shared" si="188"/>
        <v>5533.3719999999985</v>
      </c>
      <c r="V112" s="962">
        <f t="shared" si="188"/>
        <v>6752.8825000000006</v>
      </c>
      <c r="W112" s="962">
        <f t="shared" si="188"/>
        <v>7029.6020000000008</v>
      </c>
      <c r="X112" s="962">
        <f t="shared" si="188"/>
        <v>7369.8730000000014</v>
      </c>
      <c r="Y112" s="962">
        <f t="shared" si="188"/>
        <v>7951.5495000000028</v>
      </c>
      <c r="Z112" s="961">
        <f t="shared" si="188"/>
        <v>7836.6</v>
      </c>
      <c r="AA112" s="962">
        <f t="shared" si="188"/>
        <v>8481.3557499999988</v>
      </c>
      <c r="AB112" s="962">
        <f t="shared" si="188"/>
        <v>9444.5077499999989</v>
      </c>
      <c r="AC112" s="962">
        <f t="shared" si="188"/>
        <v>10370.740249999999</v>
      </c>
      <c r="AD112" s="962">
        <f t="shared" si="188"/>
        <v>11507.359499999999</v>
      </c>
      <c r="AE112" s="961">
        <f t="shared" si="188"/>
        <v>11273.191499999999</v>
      </c>
      <c r="AF112" s="962">
        <f t="shared" si="188"/>
        <v>12682.195249999999</v>
      </c>
      <c r="AG112" s="962">
        <f t="shared" si="188"/>
        <v>13979.599750000001</v>
      </c>
      <c r="AH112" s="962">
        <f t="shared" si="188"/>
        <v>15336.381249999999</v>
      </c>
      <c r="AI112" s="962">
        <f t="shared" ref="AI112:AY112" si="189">INDEX(SP_BSR_TA_Avg,0,COLUMN())-INDEX(SP_BSR_CL_Avg,0,COLUMN())</f>
        <v>16821.543749999997</v>
      </c>
      <c r="AJ112" s="961">
        <f t="shared" si="189"/>
        <v>16516.754999999997</v>
      </c>
      <c r="AK112" s="962">
        <f t="shared" si="189"/>
        <v>18374.947500000002</v>
      </c>
      <c r="AL112" s="962">
        <f t="shared" si="189"/>
        <v>20038.312250000003</v>
      </c>
      <c r="AM112" s="962">
        <f t="shared" si="189"/>
        <v>21692.267749999999</v>
      </c>
      <c r="AN112" s="962">
        <f t="shared" si="189"/>
        <v>23600.501749999999</v>
      </c>
      <c r="AO112" s="961">
        <f t="shared" si="189"/>
        <v>23303.548000000003</v>
      </c>
      <c r="AP112" s="962">
        <f t="shared" si="189"/>
        <v>25311.84175</v>
      </c>
      <c r="AQ112" s="962">
        <f t="shared" si="189"/>
        <v>26889.71875</v>
      </c>
      <c r="AR112" s="962">
        <f>INDEX(SP_BSR_TA_Avg,0,COLUMN())-INDEX(SP_BSR_CL_Avg,0,COLUMN())</f>
        <v>28639.452999999998</v>
      </c>
      <c r="AS112" s="962">
        <f>INDEX(SP_BSR_TA_Avg,0,COLUMN())-INDEX(SP_BSR_CL_Avg,0,COLUMN())</f>
        <v>29728.092499999999</v>
      </c>
      <c r="AT112" s="961">
        <f>INDEX(SP_BSR_TA_Avg,0,COLUMN())-INDEX(SP_BSR_CL_Avg,0,COLUMN())</f>
        <v>29297.294999999998</v>
      </c>
      <c r="AU112" s="962">
        <f t="shared" si="189"/>
        <v>30966.857249999997</v>
      </c>
      <c r="AV112" s="962">
        <f>INDEX(SP_BSR_TA_Avg,0,COLUMN())-INDEX(SP_BSR_CL_Avg,0,COLUMN())</f>
        <v>31864.161750000003</v>
      </c>
      <c r="AW112" s="963">
        <f>INDEX(SP_BSR_TA_Avg,0,COLUMN())-INDEX(SP_BSR_CL_Avg,0,COLUMN())</f>
        <v>32866.127499999995</v>
      </c>
      <c r="AX112" s="962">
        <f t="shared" ca="1" si="189"/>
        <v>33857.825305413906</v>
      </c>
      <c r="AY112" s="961">
        <f t="shared" ca="1" si="189"/>
        <v>33457.969610827808</v>
      </c>
      <c r="AZ112" s="962">
        <f t="shared" ref="AZ112:BG112" ca="1" si="190">INDEX(SP_BSR_TA_Avg,0,COLUMN())-INDEX(SP_BSR_CL_Avg,0,COLUMN())</f>
        <v>35188.345378480808</v>
      </c>
      <c r="BA112" s="962">
        <f t="shared" ca="1" si="190"/>
        <v>36776.685889832908</v>
      </c>
      <c r="BB112" s="962">
        <f t="shared" ca="1" si="190"/>
        <v>38481.194044671123</v>
      </c>
      <c r="BC112" s="962">
        <f t="shared" ca="1" si="190"/>
        <v>40367.438311398291</v>
      </c>
      <c r="BD112" s="961">
        <f t="shared" ca="1" si="190"/>
        <v>39213.853755109965</v>
      </c>
      <c r="BE112" s="961">
        <f t="shared" ca="1" si="190"/>
        <v>47679.490519067651</v>
      </c>
      <c r="BF112" s="961">
        <f t="shared" ca="1" si="190"/>
        <v>58123.725341482277</v>
      </c>
      <c r="BG112" s="961">
        <f t="shared" ca="1" si="190"/>
        <v>71100.238868554792</v>
      </c>
      <c r="BH112" s="239"/>
    </row>
    <row r="113" spans="1:60" customFormat="1" collapsed="1" x14ac:dyDescent="0.25">
      <c r="A113" s="260" t="s">
        <v>368</v>
      </c>
      <c r="B113" s="160"/>
      <c r="C113" s="127">
        <f>IF(C112&lt;0,"NMF",IF(ABS(C109/C112)&gt;1,"NMF",C109/C112))</f>
        <v>0.42436402548762109</v>
      </c>
      <c r="D113" s="127">
        <f>IF(D112&lt;0,"NMF",IF(ABS(D109/D112)&gt;1,"NMF",D109/D112))</f>
        <v>0.54244558638191742</v>
      </c>
      <c r="E113" s="127">
        <f>IF(E112&lt;0,"NMF",IF(ABS(E109/E112)&gt;1,"NMF",E109/E112))</f>
        <v>0.30855228584825672</v>
      </c>
      <c r="F113" s="127">
        <f>IF(F112&lt;0,"NMF",IF(ABS(F109/F112)&gt;1,"NMF",F109/F112))</f>
        <v>2.417346754978425E-2</v>
      </c>
      <c r="G113" s="128"/>
      <c r="H113" s="128"/>
      <c r="I113" s="128"/>
      <c r="J113" s="128">
        <f t="shared" ref="J113:AY113" si="191">IF(J112&lt;0,"NMF",IF(ABS(J109/J112)&gt;1,"NMF",J109/J112))</f>
        <v>7.8003274404247674E-2</v>
      </c>
      <c r="K113" s="127">
        <f t="shared" si="191"/>
        <v>8.2282403693910475E-2</v>
      </c>
      <c r="L113" s="128">
        <f t="shared" si="191"/>
        <v>9.177276878976974E-2</v>
      </c>
      <c r="M113" s="128">
        <f t="shared" si="191"/>
        <v>0.10474595884197489</v>
      </c>
      <c r="N113" s="128">
        <f t="shared" si="191"/>
        <v>0.11003994251527424</v>
      </c>
      <c r="O113" s="128">
        <f t="shared" si="191"/>
        <v>9.8216878531839941E-2</v>
      </c>
      <c r="P113" s="127">
        <f t="shared" si="191"/>
        <v>0.10524190402408191</v>
      </c>
      <c r="Q113" s="128">
        <f t="shared" si="191"/>
        <v>8.5432783784647012E-2</v>
      </c>
      <c r="R113" s="128">
        <f t="shared" si="191"/>
        <v>6.5335509029231839E-2</v>
      </c>
      <c r="S113" s="128">
        <f t="shared" si="191"/>
        <v>5.263027178223393E-2</v>
      </c>
      <c r="T113" s="128">
        <f t="shared" si="191"/>
        <v>4.7205086386414866E-2</v>
      </c>
      <c r="U113" s="127">
        <f t="shared" si="191"/>
        <v>5.5269372816431066E-2</v>
      </c>
      <c r="V113" s="128">
        <f t="shared" si="191"/>
        <v>3.8179695855806883E-2</v>
      </c>
      <c r="W113" s="128">
        <f t="shared" si="191"/>
        <v>3.6041585284629349E-2</v>
      </c>
      <c r="X113" s="128">
        <f t="shared" si="191"/>
        <v>3.8773124041622045E-2</v>
      </c>
      <c r="Y113" s="128">
        <f t="shared" si="191"/>
        <v>4.7763395046462279E-2</v>
      </c>
      <c r="Z113" s="127">
        <f t="shared" si="191"/>
        <v>4.8464002245871891E-2</v>
      </c>
      <c r="AA113" s="128">
        <f t="shared" si="191"/>
        <v>6.9243882382837185E-2</v>
      </c>
      <c r="AB113" s="128">
        <f t="shared" si="191"/>
        <v>6.8263907136928301E-2</v>
      </c>
      <c r="AC113" s="128">
        <f t="shared" si="191"/>
        <v>7.2059465571900655E-2</v>
      </c>
      <c r="AD113" s="128">
        <f t="shared" si="191"/>
        <v>7.2881967405293985E-2</v>
      </c>
      <c r="AE113" s="127">
        <f t="shared" si="191"/>
        <v>7.4395879818062144E-2</v>
      </c>
      <c r="AF113" s="128">
        <f t="shared" si="191"/>
        <v>8.1083359759817605E-2</v>
      </c>
      <c r="AG113" s="128">
        <f t="shared" si="191"/>
        <v>9.7479257229807298E-2</v>
      </c>
      <c r="AH113" s="128">
        <f t="shared" si="191"/>
        <v>0.10659372464413662</v>
      </c>
      <c r="AI113" s="128">
        <f t="shared" si="191"/>
        <v>9.542679458298825E-2</v>
      </c>
      <c r="AJ113" s="127">
        <f t="shared" si="191"/>
        <v>9.7187734515647897E-2</v>
      </c>
      <c r="AK113" s="128">
        <f t="shared" si="191"/>
        <v>8.8040088277803227E-2</v>
      </c>
      <c r="AL113" s="128">
        <f t="shared" si="191"/>
        <v>9.2918903387185198E-2</v>
      </c>
      <c r="AM113" s="128">
        <f t="shared" si="191"/>
        <v>0.10886409052368441</v>
      </c>
      <c r="AN113" s="128">
        <f t="shared" si="191"/>
        <v>0.11034739971153369</v>
      </c>
      <c r="AO113" s="127">
        <f t="shared" si="191"/>
        <v>0.11175354070547543</v>
      </c>
      <c r="AP113" s="128">
        <f t="shared" si="191"/>
        <v>0.12260767235556852</v>
      </c>
      <c r="AQ113" s="128">
        <f t="shared" si="191"/>
        <v>0.13964203325852936</v>
      </c>
      <c r="AR113" s="128">
        <f>IF(AR112&lt;0,"NMF",IF(ABS(AR109/AR112)&gt;1,"NMF",AR109/AR112))</f>
        <v>0.14279459178218246</v>
      </c>
      <c r="AS113" s="128">
        <f>IF(AS112&lt;0,"NMF",IF(ABS(AS109/AS112)&gt;1,"NMF",AS109/AS112))</f>
        <v>0.1542409423006203</v>
      </c>
      <c r="AT113" s="127">
        <f>IF(AT112&lt;0,"NMF",IF(ABS(AT109/AT112)&gt;1,"NMF",AT109/AT112))</f>
        <v>0.15650895415429994</v>
      </c>
      <c r="AU113" s="128">
        <f t="shared" ref="AU113" si="192">IF(AU112&lt;0,"NMF",IF(ABS(AU109/AU112)&gt;1,"NMF",AU109/AU112))</f>
        <v>0.18041511138493085</v>
      </c>
      <c r="AV113" s="128">
        <f>IF(AV112&lt;0,"NMF",IF(ABS(AV109/AV112)&gt;1,"NMF",AV109/AV112))</f>
        <v>0.19070299252419542</v>
      </c>
      <c r="AW113" s="623">
        <f>IF(AW112&lt;0,"NMF",IF(ABS(AW109/AW112)&gt;1,"NMF",AW109/AW112))</f>
        <v>0.19828867882290069</v>
      </c>
      <c r="AX113" s="128">
        <f t="shared" ca="1" si="191"/>
        <v>0.17988898736926828</v>
      </c>
      <c r="AY113" s="127">
        <f t="shared" ca="1" si="191"/>
        <v>0.18203883796778311</v>
      </c>
      <c r="AZ113" s="128">
        <f t="shared" ref="AZ113:BG113" ca="1" si="193">IF(AZ112&lt;0,"NMF",IF(ABS(AZ109/AZ112)&gt;1,"NMF",AZ109/AZ112))</f>
        <v>0.17956635472269686</v>
      </c>
      <c r="BA113" s="128">
        <f t="shared" ca="1" si="193"/>
        <v>0.17980700648707343</v>
      </c>
      <c r="BB113" s="128">
        <f t="shared" ca="1" si="193"/>
        <v>0.1820619747685297</v>
      </c>
      <c r="BC113" s="128">
        <f t="shared" ca="1" si="193"/>
        <v>0.1970010176737951</v>
      </c>
      <c r="BD113" s="127">
        <f t="shared" ca="1" si="193"/>
        <v>0.20279635044013816</v>
      </c>
      <c r="BE113" s="127">
        <f t="shared" ca="1" si="193"/>
        <v>0.21238739238199464</v>
      </c>
      <c r="BF113" s="127">
        <f t="shared" ca="1" si="193"/>
        <v>0.21645909120255855</v>
      </c>
      <c r="BG113" s="127">
        <f t="shared" ca="1" si="193"/>
        <v>0.225281772838195</v>
      </c>
      <c r="BH113" s="372"/>
    </row>
    <row r="114" spans="1:60" customFormat="1" x14ac:dyDescent="0.25">
      <c r="A114" s="249"/>
      <c r="B114" s="254"/>
      <c r="C114" s="956"/>
      <c r="D114" s="956"/>
      <c r="E114" s="956"/>
      <c r="F114" s="956"/>
      <c r="G114" s="957"/>
      <c r="H114" s="957"/>
      <c r="I114" s="957"/>
      <c r="J114" s="957"/>
      <c r="K114" s="956"/>
      <c r="L114" s="957"/>
      <c r="M114" s="957"/>
      <c r="N114" s="957"/>
      <c r="O114" s="957"/>
      <c r="P114" s="956"/>
      <c r="Q114" s="957"/>
      <c r="R114" s="957"/>
      <c r="S114" s="957"/>
      <c r="T114" s="957"/>
      <c r="U114" s="956"/>
      <c r="V114" s="957"/>
      <c r="W114" s="957"/>
      <c r="X114" s="957"/>
      <c r="Y114" s="957"/>
      <c r="Z114" s="956"/>
      <c r="AA114" s="957"/>
      <c r="AB114" s="957"/>
      <c r="AC114" s="957"/>
      <c r="AD114" s="957"/>
      <c r="AE114" s="956"/>
      <c r="AF114" s="957"/>
      <c r="AG114" s="957"/>
      <c r="AH114" s="957"/>
      <c r="AI114" s="957"/>
      <c r="AJ114" s="956"/>
      <c r="AK114" s="957"/>
      <c r="AL114" s="957"/>
      <c r="AM114" s="957"/>
      <c r="AN114" s="957"/>
      <c r="AO114" s="956"/>
      <c r="AP114" s="957"/>
      <c r="AQ114" s="957"/>
      <c r="AR114" s="957"/>
      <c r="AS114" s="957"/>
      <c r="AT114" s="956"/>
      <c r="AU114" s="957"/>
      <c r="AV114" s="957"/>
      <c r="AW114" s="958"/>
      <c r="AX114" s="957"/>
      <c r="AY114" s="956"/>
      <c r="AZ114" s="957"/>
      <c r="BA114" s="957"/>
      <c r="BB114" s="957"/>
      <c r="BC114" s="957"/>
      <c r="BD114" s="956"/>
      <c r="BE114" s="956"/>
      <c r="BF114" s="956"/>
      <c r="BG114" s="956"/>
      <c r="BH114" s="239"/>
    </row>
    <row r="115" spans="1:60" customFormat="1" x14ac:dyDescent="0.25">
      <c r="A115" s="155" t="s">
        <v>369</v>
      </c>
      <c r="B115" s="840"/>
      <c r="C115" s="959"/>
      <c r="D115" s="959"/>
      <c r="E115" s="959"/>
      <c r="F115" s="959"/>
      <c r="G115" s="959"/>
      <c r="H115" s="959"/>
      <c r="I115" s="959"/>
      <c r="J115" s="959"/>
      <c r="K115" s="959"/>
      <c r="L115" s="959"/>
      <c r="M115" s="959"/>
      <c r="N115" s="959"/>
      <c r="O115" s="959"/>
      <c r="P115" s="959"/>
      <c r="Q115" s="959"/>
      <c r="R115" s="959"/>
      <c r="S115" s="959"/>
      <c r="T115" s="959"/>
      <c r="U115" s="959"/>
      <c r="V115" s="959"/>
      <c r="W115" s="959"/>
      <c r="X115" s="959"/>
      <c r="Y115" s="959"/>
      <c r="Z115" s="959"/>
      <c r="AA115" s="959"/>
      <c r="AB115" s="959"/>
      <c r="AC115" s="959"/>
      <c r="AD115" s="959"/>
      <c r="AE115" s="959"/>
      <c r="AF115" s="959"/>
      <c r="AG115" s="959"/>
      <c r="AH115" s="959"/>
      <c r="AI115" s="959"/>
      <c r="AJ115" s="959"/>
      <c r="AK115" s="959"/>
      <c r="AL115" s="959"/>
      <c r="AM115" s="959"/>
      <c r="AN115" s="959"/>
      <c r="AO115" s="959"/>
      <c r="AP115" s="959"/>
      <c r="AQ115" s="959"/>
      <c r="AR115" s="959"/>
      <c r="AS115" s="959"/>
      <c r="AT115" s="959"/>
      <c r="AU115" s="959"/>
      <c r="AV115" s="959"/>
      <c r="AW115" s="960"/>
      <c r="AX115" s="959"/>
      <c r="AY115" s="959"/>
      <c r="AZ115" s="959"/>
      <c r="BA115" s="959"/>
      <c r="BB115" s="959"/>
      <c r="BC115" s="959"/>
      <c r="BD115" s="959"/>
      <c r="BE115" s="959"/>
      <c r="BF115" s="959"/>
      <c r="BG115" s="959"/>
      <c r="BH115" s="239"/>
    </row>
    <row r="116" spans="1:60" customFormat="1" x14ac:dyDescent="0.25">
      <c r="A116" s="267" t="s">
        <v>370</v>
      </c>
      <c r="B116" s="258"/>
      <c r="C116" s="125"/>
      <c r="D116" s="125">
        <f>IF(OR(INDEX(SP_GF_Rev,0,COLUMN())&lt;=0,C34&lt;=0),"NMF",IF(ABS((INDEX(SP_GF_Rev,0,COLUMN())/INDEX(SP_CS_ShareCount,0,COLUMN()))/(C34/C5)-1)&gt;10,"NMF",(INDEX(SP_GF_Rev,0,COLUMN())/INDEX(SP_CS_ShareCount,0,COLUMN()))/(C34/C5)-1))</f>
        <v>0.3928193554719539</v>
      </c>
      <c r="E116" s="125">
        <f>IF(OR(INDEX(SP_GF_Rev,0,COLUMN())&lt;=0,D34&lt;=0),"NMF",IF(ABS((INDEX(SP_GF_Rev,0,COLUMN())/INDEX(SP_CS_ShareCount,0,COLUMN()))/(D34/D5)-1)&gt;10,"NMF",(INDEX(SP_GF_Rev,0,COLUMN())/INDEX(SP_CS_ShareCount,0,COLUMN()))/(D34/D5)-1))</f>
        <v>0.48002812255305427</v>
      </c>
      <c r="F116" s="125">
        <f>IF(OR(INDEX(SP_GF_Rev,0,COLUMN())&lt;=0,E34&lt;=0),"NMF",IF(ABS((INDEX(SP_GF_Rev,0,COLUMN())/INDEX(SP_CS_ShareCount,0,COLUMN()))/(E34/E5)-1)&gt;10,"NMF",(INDEX(SP_GF_Rev,0,COLUMN())/INDEX(SP_CS_ShareCount,0,COLUMN()))/(E34/E5)-1))</f>
        <v>3.9576998953213982E-2</v>
      </c>
      <c r="G116" s="126"/>
      <c r="H116" s="126"/>
      <c r="I116" s="126"/>
      <c r="J116" s="126"/>
      <c r="K116" s="125">
        <f t="shared" ref="K116:BD116" si="194">IF(OR(INDEX(SP_GF_Rev,0,COLUMN())&lt;=0,F34&lt;=0),"NMF",IF(ABS((INDEX(SP_GF_Rev,0,COLUMN())/INDEX(SP_CS_ShareCount,0,COLUMN()))/(F34/F5)-1)&gt;10,"NMF",(INDEX(SP_GF_Rev,0,COLUMN())/INDEX(SP_CS_ShareCount,0,COLUMN()))/(F34/F5)-1))</f>
        <v>0.17498855155803317</v>
      </c>
      <c r="L116" s="126">
        <f t="shared" si="194"/>
        <v>0.21211421305287459</v>
      </c>
      <c r="M116" s="126">
        <f t="shared" si="194"/>
        <v>0.23221206634537062</v>
      </c>
      <c r="N116" s="126">
        <f t="shared" si="194"/>
        <v>0.25723660940556314</v>
      </c>
      <c r="O116" s="126">
        <f t="shared" si="194"/>
        <v>0.25346067291963825</v>
      </c>
      <c r="P116" s="125">
        <f t="shared" si="194"/>
        <v>0.23919995789319048</v>
      </c>
      <c r="Q116" s="126">
        <f t="shared" si="194"/>
        <v>0.23010336781860907</v>
      </c>
      <c r="R116" s="126">
        <f t="shared" si="194"/>
        <v>0.2139106893382432</v>
      </c>
      <c r="S116" s="126">
        <f t="shared" si="194"/>
        <v>0.21966377036406604</v>
      </c>
      <c r="T116" s="126">
        <f t="shared" si="194"/>
        <v>0.21196590244327651</v>
      </c>
      <c r="U116" s="125">
        <f t="shared" si="194"/>
        <v>0.2187226661224384</v>
      </c>
      <c r="V116" s="126">
        <f t="shared" si="194"/>
        <v>0.2326028858435305</v>
      </c>
      <c r="W116" s="126">
        <f t="shared" si="194"/>
        <v>0.2739881743296344</v>
      </c>
      <c r="X116" s="126">
        <f t="shared" si="194"/>
        <v>0.31509244639625922</v>
      </c>
      <c r="Y116" s="126">
        <f t="shared" si="194"/>
        <v>0.35322142262723344</v>
      </c>
      <c r="Z116" s="125">
        <f t="shared" si="194"/>
        <v>0.29603160095553638</v>
      </c>
      <c r="AA116" s="126">
        <f t="shared" si="194"/>
        <v>0.3242082603868679</v>
      </c>
      <c r="AB116" s="126">
        <f t="shared" si="194"/>
        <v>0.29909298230297976</v>
      </c>
      <c r="AC116" s="126">
        <f t="shared" si="194"/>
        <v>0.27718333422421271</v>
      </c>
      <c r="AD116" s="126">
        <f t="shared" si="194"/>
        <v>0.30230747794159396</v>
      </c>
      <c r="AE116" s="125">
        <f t="shared" si="194"/>
        <v>0.29991520893706314</v>
      </c>
      <c r="AF116" s="126">
        <f t="shared" si="194"/>
        <v>0.38835360072307723</v>
      </c>
      <c r="AG116" s="126">
        <f t="shared" si="194"/>
        <v>0.38630251217695522</v>
      </c>
      <c r="AH116" s="126">
        <f t="shared" si="194"/>
        <v>0.32637610373960113</v>
      </c>
      <c r="AI116" s="126">
        <f t="shared" si="194"/>
        <v>0.26583968852906414</v>
      </c>
      <c r="AJ116" s="125">
        <f t="shared" si="194"/>
        <v>0.33752390367732898</v>
      </c>
      <c r="AK116" s="126">
        <f t="shared" si="194"/>
        <v>0.21738210603955932</v>
      </c>
      <c r="AL116" s="126">
        <f t="shared" si="194"/>
        <v>0.25819704316197267</v>
      </c>
      <c r="AM116" s="126">
        <f t="shared" si="194"/>
        <v>0.31249735820029501</v>
      </c>
      <c r="AN116" s="126">
        <f t="shared" si="194"/>
        <v>0.3051352135902976</v>
      </c>
      <c r="AO116" s="125">
        <f t="shared" si="194"/>
        <v>0.27470981458799426</v>
      </c>
      <c r="AP116" s="126">
        <f t="shared" si="194"/>
        <v>0.27414515045570598</v>
      </c>
      <c r="AQ116" s="126">
        <f t="shared" si="194"/>
        <v>0.24404620737726179</v>
      </c>
      <c r="AR116" s="126">
        <f t="shared" si="194"/>
        <v>0.21749251472196063</v>
      </c>
      <c r="AS116" s="126">
        <f t="shared" si="194"/>
        <v>0.20482323803544711</v>
      </c>
      <c r="AT116" s="125">
        <f t="shared" si="194"/>
        <v>0.23343228032617658</v>
      </c>
      <c r="AU116" s="126">
        <f t="shared" si="194"/>
        <v>0.23338905952121691</v>
      </c>
      <c r="AV116" s="126">
        <f t="shared" si="194"/>
        <v>0.19101122800799608</v>
      </c>
      <c r="AW116" s="621">
        <f t="shared" si="194"/>
        <v>0.16323346583309251</v>
      </c>
      <c r="AX116" s="126">
        <f t="shared" ca="1" si="194"/>
        <v>0.1632875195922836</v>
      </c>
      <c r="AY116" s="125">
        <f t="shared" ca="1" si="194"/>
        <v>0.18618816841707386</v>
      </c>
      <c r="AZ116" s="126">
        <f t="shared" ca="1" si="194"/>
        <v>0.1182701603503058</v>
      </c>
      <c r="BA116" s="126">
        <f t="shared" ca="1" si="194"/>
        <v>0.12106077164606788</v>
      </c>
      <c r="BB116" s="126">
        <f t="shared" ca="1" si="194"/>
        <v>0.13107081576108848</v>
      </c>
      <c r="BC116" s="126">
        <f t="shared" ca="1" si="194"/>
        <v>0.12857930190069133</v>
      </c>
      <c r="BD116" s="125">
        <f t="shared" ca="1" si="194"/>
        <v>0.12488416462946361</v>
      </c>
      <c r="BE116" s="125">
        <f ca="1">IF(OR(INDEX(SP_GF_Rev,0,COLUMN())&lt;=0,BD34&lt;=0),"NMF",IF(ABS((INDEX(SP_GF_Rev,0,COLUMN())/INDEX(SP_CS_ShareCount,0,COLUMN()))/(BD34/BD5)-1)&gt;10,"NMF",(INDEX(SP_GF_Rev,0,COLUMN())/INDEX(SP_CS_ShareCount,0,COLUMN()))/(BD34/BD5)-1))</f>
        <v>0.12857790450619522</v>
      </c>
      <c r="BF116" s="125">
        <f ca="1">IF(OR(INDEX(SP_GF_Rev,0,COLUMN())&lt;=0,BE34&lt;=0),"NMF",IF(ABS((INDEX(SP_GF_Rev,0,COLUMN())/INDEX(SP_CS_ShareCount,0,COLUMN()))/(BE34/BE5)-1)&gt;10,"NMF",(INDEX(SP_GF_Rev,0,COLUMN())/INDEX(SP_CS_ShareCount,0,COLUMN()))/(BE34/BE5)-1))</f>
        <v>0.13827416365227507</v>
      </c>
      <c r="BG116" s="125">
        <f ca="1">IF(OR(INDEX(SP_GF_Rev,0,COLUMN())&lt;=0,BF34&lt;=0),"NMF",IF(ABS((INDEX(SP_GF_Rev,0,COLUMN())/INDEX(SP_CS_ShareCount,0,COLUMN()))/(BF34/BF5)-1)&gt;10,"NMF",(INDEX(SP_GF_Rev,0,COLUMN())/INDEX(SP_CS_ShareCount,0,COLUMN()))/(BF34/BF5)-1))</f>
        <v>0.14089517839258603</v>
      </c>
      <c r="BH116" s="225"/>
    </row>
    <row r="117" spans="1:60" customFormat="1" x14ac:dyDescent="0.25">
      <c r="A117" s="267" t="s">
        <v>371</v>
      </c>
      <c r="B117" s="258"/>
      <c r="C117" s="125"/>
      <c r="D117" s="125">
        <f>IF(OR(INDEX(SP_NGF_EBITDA,0,COLUMN())&lt;=0,C51&lt;=0),"NMF",IF(ABS((INDEX(SP_NGF_EBITDA,0,COLUMN())/INDEX(SP_CS_ShareCount,0,COLUMN()))/(C51/C5)-1)&gt;10,"NMF",(INDEX(SP_NGF_EBITDA,0,COLUMN())/INDEX(SP_CS_ShareCount,0,COLUMN()))/(C51/C5)-1))</f>
        <v>0.55077127120978409</v>
      </c>
      <c r="E117" s="125">
        <f>IF(OR(INDEX(SP_NGF_EBITDA,0,COLUMN())&lt;=0,D51&lt;=0),"NMF",IF(ABS((INDEX(SP_NGF_EBITDA,0,COLUMN())/INDEX(SP_CS_ShareCount,0,COLUMN()))/(D51/D5)-1)&gt;10,"NMF",(INDEX(SP_NGF_EBITDA,0,COLUMN())/INDEX(SP_CS_ShareCount,0,COLUMN()))/(D51/D5)-1))</f>
        <v>0.37481263985737345</v>
      </c>
      <c r="F117" s="125">
        <f>IF(OR(INDEX(SP_NGF_EBITDA,0,COLUMN())&lt;=0,E51&lt;=0),"NMF",IF(ABS((INDEX(SP_NGF_EBITDA,0,COLUMN())/INDEX(SP_CS_ShareCount,0,COLUMN()))/(E51/E5)-1)&gt;10,"NMF",(INDEX(SP_NGF_EBITDA,0,COLUMN())/INDEX(SP_CS_ShareCount,0,COLUMN()))/(E51/E5)-1))</f>
        <v>-0.67518232224273755</v>
      </c>
      <c r="G117" s="126"/>
      <c r="H117" s="126"/>
      <c r="I117" s="126"/>
      <c r="J117" s="126"/>
      <c r="K117" s="125">
        <f t="shared" ref="K117:BD117" si="195">IF(OR(INDEX(SP_NGF_EBITDA,0,COLUMN())&lt;=0,F51&lt;=0),"NMF",IF(ABS((INDEX(SP_NGF_EBITDA,0,COLUMN())/INDEX(SP_CS_ShareCount,0,COLUMN()))/(F51/F5)-1)&gt;10,"NMF",(INDEX(SP_NGF_EBITDA,0,COLUMN())/INDEX(SP_CS_ShareCount,0,COLUMN()))/(F51/F5)-1))</f>
        <v>1.0018395841186463</v>
      </c>
      <c r="L117" s="126">
        <f t="shared" si="195"/>
        <v>1.1536956201266699</v>
      </c>
      <c r="M117" s="126">
        <f t="shared" si="195"/>
        <v>0.93976561910237244</v>
      </c>
      <c r="N117" s="126">
        <f t="shared" si="195"/>
        <v>0.75263425988977417</v>
      </c>
      <c r="O117" s="126">
        <f t="shared" si="195"/>
        <v>-4.6504671551786281E-2</v>
      </c>
      <c r="P117" s="125">
        <f t="shared" si="195"/>
        <v>0.61002045024174678</v>
      </c>
      <c r="Q117" s="126">
        <f t="shared" si="195"/>
        <v>2.4310875934945742E-2</v>
      </c>
      <c r="R117" s="126">
        <f t="shared" si="195"/>
        <v>-0.31494204880339804</v>
      </c>
      <c r="S117" s="126">
        <f t="shared" si="195"/>
        <v>-0.21651190903271256</v>
      </c>
      <c r="T117" s="126">
        <f t="shared" si="195"/>
        <v>1.5989969500782575E-3</v>
      </c>
      <c r="U117" s="125">
        <f t="shared" si="195"/>
        <v>-0.14728112353660061</v>
      </c>
      <c r="V117" s="126">
        <f t="shared" si="195"/>
        <v>-0.24567000968620356</v>
      </c>
      <c r="W117" s="126">
        <f t="shared" si="195"/>
        <v>7.5653336922500314E-2</v>
      </c>
      <c r="X117" s="126">
        <f t="shared" si="195"/>
        <v>0.33566369668628337</v>
      </c>
      <c r="Y117" s="126">
        <f t="shared" si="195"/>
        <v>0.89586585059303703</v>
      </c>
      <c r="Z117" s="125">
        <f t="shared" si="195"/>
        <v>0.23355369854516494</v>
      </c>
      <c r="AA117" s="126">
        <f t="shared" si="195"/>
        <v>1.9207834331492464</v>
      </c>
      <c r="AB117" s="126">
        <f t="shared" si="195"/>
        <v>0.4534062190617838</v>
      </c>
      <c r="AC117" s="126">
        <f t="shared" si="195"/>
        <v>0.62960907603163196</v>
      </c>
      <c r="AD117" s="126">
        <f t="shared" si="195"/>
        <v>0.45094420444503047</v>
      </c>
      <c r="AE117" s="125">
        <f t="shared" si="195"/>
        <v>0.75588174333631541</v>
      </c>
      <c r="AF117" s="126">
        <f t="shared" si="195"/>
        <v>0.66689061241880321</v>
      </c>
      <c r="AG117" s="126">
        <f t="shared" si="195"/>
        <v>1.9234463110495894</v>
      </c>
      <c r="AH117" s="126">
        <f t="shared" si="195"/>
        <v>1.1210392082035225</v>
      </c>
      <c r="AI117" s="126">
        <f t="shared" si="195"/>
        <v>4.0375144105591954E-2</v>
      </c>
      <c r="AJ117" s="125">
        <f t="shared" si="195"/>
        <v>0.82038658661132446</v>
      </c>
      <c r="AK117" s="126">
        <f t="shared" si="195"/>
        <v>8.953273921667293E-2</v>
      </c>
      <c r="AL117" s="126">
        <f t="shared" si="195"/>
        <v>0.48189407022420983</v>
      </c>
      <c r="AM117" s="126">
        <f t="shared" si="195"/>
        <v>0.89696887517717805</v>
      </c>
      <c r="AN117" s="126">
        <f t="shared" si="195"/>
        <v>0.78843427502389152</v>
      </c>
      <c r="AO117" s="125">
        <f t="shared" si="195"/>
        <v>0.54781322315313319</v>
      </c>
      <c r="AP117" s="126">
        <f t="shared" si="195"/>
        <v>0.85395434223308797</v>
      </c>
      <c r="AQ117" s="126">
        <f t="shared" si="195"/>
        <v>0.77449772486460522</v>
      </c>
      <c r="AR117" s="126">
        <f t="shared" si="195"/>
        <v>0.29925722122085796</v>
      </c>
      <c r="AS117" s="126">
        <f t="shared" si="195"/>
        <v>0.84921305798857327</v>
      </c>
      <c r="AT117" s="125">
        <f t="shared" si="195"/>
        <v>0.63453888097411526</v>
      </c>
      <c r="AU117" s="126">
        <f t="shared" si="195"/>
        <v>0.92684877964388468</v>
      </c>
      <c r="AV117" s="126">
        <f t="shared" si="195"/>
        <v>0.33159426849946594</v>
      </c>
      <c r="AW117" s="621">
        <f t="shared" si="195"/>
        <v>0.32518983315719918</v>
      </c>
      <c r="AX117" s="126">
        <f t="shared" ca="1" si="195"/>
        <v>-0.35475731616873662</v>
      </c>
      <c r="AY117" s="125">
        <f t="shared" ca="1" si="195"/>
        <v>0.31001711205384153</v>
      </c>
      <c r="AZ117" s="126">
        <f t="shared" ca="1" si="195"/>
        <v>0.12371385884337882</v>
      </c>
      <c r="BA117" s="126">
        <f t="shared" ca="1" si="195"/>
        <v>0.16703737399173901</v>
      </c>
      <c r="BB117" s="126">
        <f t="shared" ca="1" si="195"/>
        <v>0.2136702678809983</v>
      </c>
      <c r="BC117" s="126">
        <f t="shared" ca="1" si="195"/>
        <v>1.3562575685242289</v>
      </c>
      <c r="BD117" s="125">
        <f t="shared" ca="1" si="195"/>
        <v>0.29161970615607147</v>
      </c>
      <c r="BE117" s="125">
        <f ca="1">IF(OR(INDEX(SP_NGF_EBITDA,0,COLUMN())&lt;=0,BD51&lt;=0),"NMF",IF(ABS((INDEX(SP_NGF_EBITDA,0,COLUMN())/INDEX(SP_CS_ShareCount,0,COLUMN()))/(BD51/BD5)-1)&gt;10,"NMF",(INDEX(SP_NGF_EBITDA,0,COLUMN())/INDEX(SP_CS_ShareCount,0,COLUMN()))/(BD51/BD5)-1))</f>
        <v>0.25895367123220092</v>
      </c>
      <c r="BF117" s="125">
        <f ca="1">IF(OR(INDEX(SP_NGF_EBITDA,0,COLUMN())&lt;=0,BE51&lt;=0),"NMF",IF(ABS((INDEX(SP_NGF_EBITDA,0,COLUMN())/INDEX(SP_CS_ShareCount,0,COLUMN()))/(BE51/BE5)-1)&gt;10,"NMF",(INDEX(SP_NGF_EBITDA,0,COLUMN())/INDEX(SP_CS_ShareCount,0,COLUMN()))/(BE51/BE5)-1))</f>
        <v>0.23313707214686863</v>
      </c>
      <c r="BG117" s="125">
        <f ca="1">IF(OR(INDEX(SP_NGF_EBITDA,0,COLUMN())&lt;=0,BF51&lt;=0),"NMF",IF(ABS((INDEX(SP_NGF_EBITDA,0,COLUMN())/INDEX(SP_CS_ShareCount,0,COLUMN()))/(BF51/BF5)-1)&gt;10,"NMF",(INDEX(SP_NGF_EBITDA,0,COLUMN())/INDEX(SP_CS_ShareCount,0,COLUMN()))/(BF51/BF5)-1))</f>
        <v>0.26240335568129525</v>
      </c>
      <c r="BH117" s="225"/>
    </row>
    <row r="118" spans="1:60" customFormat="1" x14ac:dyDescent="0.25">
      <c r="A118" s="267" t="s">
        <v>372</v>
      </c>
      <c r="B118" s="258"/>
      <c r="C118" s="125"/>
      <c r="D118" s="125">
        <f>IF(OR(INDEX(SP_NGF_NI,0,COLUMN())&lt;=0,C53&lt;=0),"NMF",IF(ABS((INDEX(SP_NGF_NI,0,COLUMN())/INDEX(SP_CS_ShareCount,0,COLUMN()))/(C53/C5)-1)&gt;10,"NMF",(INDEX(SP_NGF_NI,0,COLUMN())/INDEX(SP_CS_ShareCount,0,COLUMN()))/(C53/C5)-1))</f>
        <v>0.49346701783114288</v>
      </c>
      <c r="E118" s="125">
        <f>IF(OR(INDEX(SP_NGF_NI,0,COLUMN())&lt;=0,D53&lt;=0),"NMF",IF(ABS((INDEX(SP_NGF_NI,0,COLUMN())/INDEX(SP_CS_ShareCount,0,COLUMN()))/(D53/D5)-1)&gt;10,"NMF",(INDEX(SP_NGF_NI,0,COLUMN())/INDEX(SP_CS_ShareCount,0,COLUMN()))/(D53/D5)-1))</f>
        <v>0.40411219330070525</v>
      </c>
      <c r="F118" s="125">
        <f>IF(OR(INDEX(SP_NGF_NI,0,COLUMN())&lt;=0,E53&lt;=0),"NMF",IF(ABS((INDEX(SP_NGF_NI,0,COLUMN())/INDEX(SP_CS_ShareCount,0,COLUMN()))/(E53/E5)-1)&gt;10,"NMF",(INDEX(SP_NGF_NI,0,COLUMN())/INDEX(SP_CS_ShareCount,0,COLUMN()))/(E53/E5)-1))</f>
        <v>-0.92998826742223262</v>
      </c>
      <c r="G118" s="126"/>
      <c r="H118" s="126"/>
      <c r="I118" s="126"/>
      <c r="J118" s="126"/>
      <c r="K118" s="125">
        <f t="shared" ref="K118:BD118" si="196">IF(OR(INDEX(SP_NGF_NI,0,COLUMN())&lt;=0,F53&lt;=0),"NMF",IF(ABS((INDEX(SP_NGF_NI,0,COLUMN())/INDEX(SP_CS_ShareCount,0,COLUMN()))/(F53/F5)-1)&gt;10,"NMF",(INDEX(SP_NGF_NI,0,COLUMN())/INDEX(SP_CS_ShareCount,0,COLUMN()))/(F53/F5)-1))</f>
        <v>6.2560869452542267</v>
      </c>
      <c r="L118" s="126">
        <f t="shared" si="196"/>
        <v>1.7807294036090986</v>
      </c>
      <c r="M118" s="126">
        <f t="shared" si="196"/>
        <v>1.3689240867060284</v>
      </c>
      <c r="N118" s="126">
        <f t="shared" si="196"/>
        <v>0.83830778949412355</v>
      </c>
      <c r="O118" s="126">
        <f t="shared" si="196"/>
        <v>-8.2864923694441095E-2</v>
      </c>
      <c r="P118" s="125">
        <f t="shared" si="196"/>
        <v>0.75040808018349203</v>
      </c>
      <c r="Q118" s="126">
        <f t="shared" si="196"/>
        <v>-0.10232961176992572</v>
      </c>
      <c r="R118" s="126">
        <f t="shared" si="196"/>
        <v>-0.63313760249931916</v>
      </c>
      <c r="S118" s="126">
        <f t="shared" si="196"/>
        <v>-0.50915148505205088</v>
      </c>
      <c r="T118" s="126">
        <f t="shared" si="196"/>
        <v>-0.34425966637402472</v>
      </c>
      <c r="U118" s="125">
        <f t="shared" si="196"/>
        <v>-0.42099926268833299</v>
      </c>
      <c r="V118" s="126">
        <f t="shared" si="196"/>
        <v>-0.42940034762169821</v>
      </c>
      <c r="W118" s="126">
        <f t="shared" si="196"/>
        <v>0.54029495533768013</v>
      </c>
      <c r="X118" s="126">
        <f t="shared" si="196"/>
        <v>0.74724742664652766</v>
      </c>
      <c r="Y118" s="126">
        <f t="shared" si="196"/>
        <v>1.235173807058946</v>
      </c>
      <c r="Z118" s="125">
        <f t="shared" si="196"/>
        <v>0.39116992669623563</v>
      </c>
      <c r="AA118" s="126">
        <f t="shared" si="196"/>
        <v>5.3357925297674109</v>
      </c>
      <c r="AB118" s="126">
        <f t="shared" si="196"/>
        <v>0.58037377840046589</v>
      </c>
      <c r="AC118" s="126">
        <f t="shared" si="196"/>
        <v>1.465025873949152</v>
      </c>
      <c r="AD118" s="126">
        <f t="shared" si="196"/>
        <v>1.7292584432022942</v>
      </c>
      <c r="AE118" s="125">
        <f t="shared" si="196"/>
        <v>1.9393875179972171</v>
      </c>
      <c r="AF118" s="126">
        <f t="shared" si="196"/>
        <v>0.61016454796280084</v>
      </c>
      <c r="AG118" s="126">
        <f t="shared" si="196"/>
        <v>4.7903398370859893</v>
      </c>
      <c r="AH118" s="126">
        <f t="shared" si="196"/>
        <v>2.0771891861582081</v>
      </c>
      <c r="AI118" s="126">
        <f t="shared" si="196"/>
        <v>-0.28280947390708455</v>
      </c>
      <c r="AJ118" s="125">
        <f t="shared" si="196"/>
        <v>1.1458018241969565</v>
      </c>
      <c r="AK118" s="126">
        <f t="shared" si="196"/>
        <v>0.18177770547006067</v>
      </c>
      <c r="AL118" s="126">
        <f t="shared" si="196"/>
        <v>-0.29682359407050218</v>
      </c>
      <c r="AM118" s="126">
        <f t="shared" si="196"/>
        <v>0.6527478463868388</v>
      </c>
      <c r="AN118" s="126">
        <f t="shared" si="196"/>
        <v>3.3800946192193724</v>
      </c>
      <c r="AO118" s="125">
        <f t="shared" si="196"/>
        <v>0.53954616071866068</v>
      </c>
      <c r="AP118" s="126">
        <f t="shared" si="196"/>
        <v>1.0583245112568314</v>
      </c>
      <c r="AQ118" s="126">
        <f t="shared" si="196"/>
        <v>1.6507281645897041</v>
      </c>
      <c r="AR118" s="126">
        <f t="shared" si="196"/>
        <v>0.17827134868281136</v>
      </c>
      <c r="AS118" s="126">
        <f t="shared" si="196"/>
        <v>-8.4292580263351735E-2</v>
      </c>
      <c r="AT118" s="125">
        <f t="shared" si="196"/>
        <v>0.47116559073701691</v>
      </c>
      <c r="AU118" s="126">
        <f t="shared" si="196"/>
        <v>1.3903624628815674</v>
      </c>
      <c r="AV118" s="126">
        <f t="shared" si="196"/>
        <v>0.87378601168164671</v>
      </c>
      <c r="AW118" s="621">
        <f t="shared" si="196"/>
        <v>0.83498005423686794</v>
      </c>
      <c r="AX118" s="126">
        <f t="shared" ca="1" si="196"/>
        <v>-0.35327325419456967</v>
      </c>
      <c r="AY118" s="125">
        <f t="shared" ca="1" si="196"/>
        <v>0.75601103193592301</v>
      </c>
      <c r="AZ118" s="126">
        <f t="shared" ca="1" si="196"/>
        <v>-3.8759009778050468E-2</v>
      </c>
      <c r="BA118" s="126">
        <f t="shared" ca="1" si="196"/>
        <v>0.18394073139124645</v>
      </c>
      <c r="BB118" s="126">
        <f t="shared" ca="1" si="196"/>
        <v>0.10909973998999067</v>
      </c>
      <c r="BC118" s="126">
        <f t="shared" ca="1" si="196"/>
        <v>2.0380547507458187</v>
      </c>
      <c r="BD118" s="125">
        <f t="shared" ca="1" si="196"/>
        <v>0.2170222907684598</v>
      </c>
      <c r="BE118" s="125">
        <f ca="1">IF(OR(INDEX(SP_NGF_NI,0,COLUMN())&lt;=0,BD53&lt;=0),"NMF",IF(ABS((INDEX(SP_NGF_NI,0,COLUMN())/INDEX(SP_CS_ShareCount,0,COLUMN()))/(BD53/BD5)-1)&gt;10,"NMF",(INDEX(SP_NGF_NI,0,COLUMN())/INDEX(SP_CS_ShareCount,0,COLUMN()))/(BD53/BD5)-1))</f>
        <v>0.30207589296063952</v>
      </c>
      <c r="BF118" s="125">
        <f ca="1">IF(OR(INDEX(SP_NGF_NI,0,COLUMN())&lt;=0,BE53&lt;=0),"NMF",IF(ABS((INDEX(SP_NGF_NI,0,COLUMN())/INDEX(SP_CS_ShareCount,0,COLUMN()))/(BE53/BE5)-1)&gt;10,"NMF",(INDEX(SP_NGF_NI,0,COLUMN())/INDEX(SP_CS_ShareCount,0,COLUMN()))/(BE53/BE5)-1))</f>
        <v>0.26611972990381583</v>
      </c>
      <c r="BG118" s="125">
        <f ca="1">IF(OR(INDEX(SP_NGF_NI,0,COLUMN())&lt;=0,BF53&lt;=0),"NMF",IF(ABS((INDEX(SP_NGF_NI,0,COLUMN())/INDEX(SP_CS_ShareCount,0,COLUMN()))/(BF53/BF5)-1)&gt;10,"NMF",(INDEX(SP_NGF_NI,0,COLUMN())/INDEX(SP_CS_ShareCount,0,COLUMN()))/(BF53/BF5)-1))</f>
        <v>0.29453935862061353</v>
      </c>
      <c r="BH118" s="225"/>
    </row>
    <row r="119" spans="1:60" customFormat="1" x14ac:dyDescent="0.25">
      <c r="A119" s="267" t="s">
        <v>373</v>
      </c>
      <c r="B119" s="258"/>
      <c r="C119" s="125"/>
      <c r="D119" s="125">
        <f>IF(OR(INDEX(SP_CFA_CFO_BeforeWC,0,COLUMN())&lt;=0,C67&lt;=0),"NMF",IF(ABS((INDEX(SP_CFA_CFO_BeforeWC,0,COLUMN())/INDEX(SP_CS_ShareCount,0,COLUMN()))/(C67/C5)-1)&gt;10,"NMF",(INDEX(SP_CFA_CFO_BeforeWC,0,COLUMN())/INDEX(SP_CS_ShareCount,0,COLUMN()))/(C67/C5)-1))</f>
        <v>-0.22735102424674858</v>
      </c>
      <c r="E119" s="125">
        <f>IF(OR(INDEX(SP_CFA_CFO_BeforeWC,0,COLUMN())&lt;=0,D67&lt;=0),"NMF",IF(ABS((INDEX(SP_CFA_CFO_BeforeWC,0,COLUMN())/INDEX(SP_CS_ShareCount,0,COLUMN()))/(D67/D5)-1)&gt;10,"NMF",(INDEX(SP_CFA_CFO_BeforeWC,0,COLUMN())/INDEX(SP_CS_ShareCount,0,COLUMN()))/(D67/D5)-1))</f>
        <v>-7.0807186660216681E-2</v>
      </c>
      <c r="F119" s="125" t="str">
        <f>IF(OR(INDEX(SP_CFA_CFO_BeforeWC,0,COLUMN())&lt;=0,E67&lt;=0),"NMF",IF(ABS((INDEX(SP_CFA_CFO_BeforeWC,0,COLUMN())/INDEX(SP_CS_ShareCount,0,COLUMN()))/(E67/E5)-1)&gt;10,"NMF",(INDEX(SP_CFA_CFO_BeforeWC,0,COLUMN())/INDEX(SP_CS_ShareCount,0,COLUMN()))/(E67/E5)-1))</f>
        <v>NMF</v>
      </c>
      <c r="G119" s="126"/>
      <c r="H119" s="126"/>
      <c r="I119" s="126"/>
      <c r="J119" s="126"/>
      <c r="K119" s="125" t="str">
        <f t="shared" ref="K119:BD119" si="197">IF(OR(INDEX(SP_CFA_CFO_BeforeWC,0,COLUMN())&lt;=0,F67&lt;=0),"NMF",IF(ABS((INDEX(SP_CFA_CFO_BeforeWC,0,COLUMN())/INDEX(SP_CS_ShareCount,0,COLUMN()))/(F67/F5)-1)&gt;10,"NMF",(INDEX(SP_CFA_CFO_BeforeWC,0,COLUMN())/INDEX(SP_CS_ShareCount,0,COLUMN()))/(F67/F5)-1))</f>
        <v>NMF</v>
      </c>
      <c r="L119" s="126" t="str">
        <f t="shared" si="197"/>
        <v>NMF</v>
      </c>
      <c r="M119" s="126" t="str">
        <f t="shared" si="197"/>
        <v>NMF</v>
      </c>
      <c r="N119" s="126" t="str">
        <f t="shared" si="197"/>
        <v>NMF</v>
      </c>
      <c r="O119" s="126" t="str">
        <f t="shared" si="197"/>
        <v>NMF</v>
      </c>
      <c r="P119" s="125" t="str">
        <f t="shared" si="197"/>
        <v>NMF</v>
      </c>
      <c r="Q119" s="126" t="str">
        <f t="shared" si="197"/>
        <v>NMF</v>
      </c>
      <c r="R119" s="126" t="str">
        <f t="shared" si="197"/>
        <v>NMF</v>
      </c>
      <c r="S119" s="126" t="str">
        <f t="shared" si="197"/>
        <v>NMF</v>
      </c>
      <c r="T119" s="126" t="str">
        <f t="shared" si="197"/>
        <v>NMF</v>
      </c>
      <c r="U119" s="125" t="str">
        <f t="shared" si="197"/>
        <v>NMF</v>
      </c>
      <c r="V119" s="126" t="str">
        <f t="shared" si="197"/>
        <v>NMF</v>
      </c>
      <c r="W119" s="126" t="str">
        <f t="shared" si="197"/>
        <v>NMF</v>
      </c>
      <c r="X119" s="126" t="str">
        <f t="shared" si="197"/>
        <v>NMF</v>
      </c>
      <c r="Y119" s="126" t="str">
        <f t="shared" si="197"/>
        <v>NMF</v>
      </c>
      <c r="Z119" s="125" t="str">
        <f t="shared" si="197"/>
        <v>NMF</v>
      </c>
      <c r="AA119" s="126" t="str">
        <f t="shared" si="197"/>
        <v>NMF</v>
      </c>
      <c r="AB119" s="126" t="str">
        <f t="shared" si="197"/>
        <v>NMF</v>
      </c>
      <c r="AC119" s="126" t="str">
        <f t="shared" si="197"/>
        <v>NMF</v>
      </c>
      <c r="AD119" s="126" t="str">
        <f t="shared" si="197"/>
        <v>NMF</v>
      </c>
      <c r="AE119" s="125" t="str">
        <f t="shared" si="197"/>
        <v>NMF</v>
      </c>
      <c r="AF119" s="126" t="str">
        <f t="shared" si="197"/>
        <v>NMF</v>
      </c>
      <c r="AG119" s="126" t="str">
        <f t="shared" si="197"/>
        <v>NMF</v>
      </c>
      <c r="AH119" s="126" t="str">
        <f t="shared" si="197"/>
        <v>NMF</v>
      </c>
      <c r="AI119" s="126" t="str">
        <f t="shared" si="197"/>
        <v>NMF</v>
      </c>
      <c r="AJ119" s="125" t="str">
        <f t="shared" si="197"/>
        <v>NMF</v>
      </c>
      <c r="AK119" s="126" t="str">
        <f t="shared" si="197"/>
        <v>NMF</v>
      </c>
      <c r="AL119" s="126" t="str">
        <f t="shared" si="197"/>
        <v>NMF</v>
      </c>
      <c r="AM119" s="126" t="str">
        <f t="shared" si="197"/>
        <v>NMF</v>
      </c>
      <c r="AN119" s="126" t="str">
        <f t="shared" si="197"/>
        <v>NMF</v>
      </c>
      <c r="AO119" s="125" t="str">
        <f t="shared" si="197"/>
        <v>NMF</v>
      </c>
      <c r="AP119" s="126" t="str">
        <f t="shared" si="197"/>
        <v>NMF</v>
      </c>
      <c r="AQ119" s="126" t="str">
        <f t="shared" si="197"/>
        <v>NMF</v>
      </c>
      <c r="AR119" s="126" t="str">
        <f t="shared" si="197"/>
        <v>NMF</v>
      </c>
      <c r="AS119" s="126" t="str">
        <f t="shared" si="197"/>
        <v>NMF</v>
      </c>
      <c r="AT119" s="125" t="str">
        <f t="shared" si="197"/>
        <v>NMF</v>
      </c>
      <c r="AU119" s="126">
        <f t="shared" si="197"/>
        <v>2.2832370852281367</v>
      </c>
      <c r="AV119" s="126">
        <f t="shared" si="197"/>
        <v>-0.90982090385475045</v>
      </c>
      <c r="AW119" s="621" t="str">
        <f t="shared" si="197"/>
        <v>NMF</v>
      </c>
      <c r="AX119" s="126" t="str">
        <f t="shared" si="197"/>
        <v>NMF</v>
      </c>
      <c r="AY119" s="125">
        <f t="shared" ca="1" si="197"/>
        <v>-0.48024129970283136</v>
      </c>
      <c r="AZ119" s="126">
        <f t="shared" ca="1" si="197"/>
        <v>0.1414797441898008</v>
      </c>
      <c r="BA119" s="126">
        <f t="shared" ca="1" si="197"/>
        <v>9.2545316958501935</v>
      </c>
      <c r="BB119" s="126" t="str">
        <f t="shared" ca="1" si="197"/>
        <v>NMF</v>
      </c>
      <c r="BC119" s="126">
        <f t="shared" ca="1" si="197"/>
        <v>2.175245618688066</v>
      </c>
      <c r="BD119" s="125">
        <f t="shared" ca="1" si="197"/>
        <v>2.4778225234075162</v>
      </c>
      <c r="BE119" s="125">
        <f ca="1">IF(OR(INDEX(SP_CFA_CFO_BeforeWC,0,COLUMN())&lt;=0,BD67&lt;=0),"NMF",IF(ABS((INDEX(SP_CFA_CFO_BeforeWC,0,COLUMN())/INDEX(SP_CS_ShareCount,0,COLUMN()))/(BD67/BD5)-1)&gt;10,"NMF",(INDEX(SP_CFA_CFO_BeforeWC,0,COLUMN())/INDEX(SP_CS_ShareCount,0,COLUMN()))/(BD67/BD5)-1))</f>
        <v>0.54260207073832967</v>
      </c>
      <c r="BF119" s="125">
        <f ca="1">IF(OR(INDEX(SP_CFA_CFO_BeforeWC,0,COLUMN())&lt;=0,BE67&lt;=0),"NMF",IF(ABS((INDEX(SP_CFA_CFO_BeforeWC,0,COLUMN())/INDEX(SP_CS_ShareCount,0,COLUMN()))/(BE67/BE5)-1)&gt;10,"NMF",(INDEX(SP_CFA_CFO_BeforeWC,0,COLUMN())/INDEX(SP_CS_ShareCount,0,COLUMN()))/(BE67/BE5)-1))</f>
        <v>0.43620560426038746</v>
      </c>
      <c r="BG119" s="125">
        <f ca="1">IF(OR(INDEX(SP_CFA_CFO_BeforeWC,0,COLUMN())&lt;=0,BF67&lt;=0),"NMF",IF(ABS((INDEX(SP_CFA_CFO_BeforeWC,0,COLUMN())/INDEX(SP_CS_ShareCount,0,COLUMN()))/(BF67/BF5)-1)&gt;10,"NMF",(INDEX(SP_CFA_CFO_BeforeWC,0,COLUMN())/INDEX(SP_CS_ShareCount,0,COLUMN()))/(BF67/BF5)-1))</f>
        <v>0.34061662058676379</v>
      </c>
      <c r="BH119" s="225"/>
    </row>
    <row r="120" spans="1:60" customFormat="1" x14ac:dyDescent="0.25">
      <c r="A120" s="267" t="s">
        <v>374</v>
      </c>
      <c r="B120" s="258"/>
      <c r="C120" s="125"/>
      <c r="D120" s="125">
        <f>IF(OR(INDEX(SP_CFA_FCF_PreDiv,0,COLUMN())&lt;=0,C69&lt;=0),"NMF",IF(ABS((INDEX(SP_CFA_FCF_PreDiv,0,COLUMN())/INDEX(SP_CS_ShareCount,0,COLUMN()))/(C69/C5)-1)&gt;10,"NMF",(INDEX(SP_CFA_FCF_PreDiv,0,COLUMN())/INDEX(SP_CS_ShareCount,0,COLUMN()))/(C69/C5)-1))</f>
        <v>8.2542184730589607E-3</v>
      </c>
      <c r="E120" s="125">
        <f>IF(OR(INDEX(SP_CFA_FCF_PreDiv,0,COLUMN())&lt;=0,D69&lt;=0),"NMF",IF(ABS((INDEX(SP_CFA_FCF_PreDiv,0,COLUMN())/INDEX(SP_CS_ShareCount,0,COLUMN()))/(D69/D5)-1)&gt;10,"NMF",(INDEX(SP_CFA_FCF_PreDiv,0,COLUMN())/INDEX(SP_CS_ShareCount,0,COLUMN()))/(D69/D5)-1))</f>
        <v>0.12901837728415488</v>
      </c>
      <c r="F120" s="125" t="str">
        <f>IF(OR(INDEX(SP_CFA_FCF_PreDiv,0,COLUMN())&lt;=0,E69&lt;=0),"NMF",IF(ABS((INDEX(SP_CFA_FCF_PreDiv,0,COLUMN())/INDEX(SP_CS_ShareCount,0,COLUMN()))/(E69/E5)-1)&gt;10,"NMF",(INDEX(SP_CFA_FCF_PreDiv,0,COLUMN())/INDEX(SP_CS_ShareCount,0,COLUMN()))/(E69/E5)-1))</f>
        <v>NMF</v>
      </c>
      <c r="G120" s="126"/>
      <c r="H120" s="126"/>
      <c r="I120" s="126"/>
      <c r="J120" s="126"/>
      <c r="K120" s="125" t="str">
        <f t="shared" ref="K120:BD120" si="198">IF(OR(INDEX(SP_CFA_FCF_PreDiv,0,COLUMN())&lt;=0,F69&lt;=0),"NMF",IF(ABS((INDEX(SP_CFA_FCF_PreDiv,0,COLUMN())/INDEX(SP_CS_ShareCount,0,COLUMN()))/(F69/F5)-1)&gt;10,"NMF",(INDEX(SP_CFA_FCF_PreDiv,0,COLUMN())/INDEX(SP_CS_ShareCount,0,COLUMN()))/(F69/F5)-1))</f>
        <v>NMF</v>
      </c>
      <c r="L120" s="126" t="str">
        <f t="shared" si="198"/>
        <v>NMF</v>
      </c>
      <c r="M120" s="126" t="str">
        <f t="shared" si="198"/>
        <v>NMF</v>
      </c>
      <c r="N120" s="126" t="str">
        <f t="shared" si="198"/>
        <v>NMF</v>
      </c>
      <c r="O120" s="126" t="str">
        <f t="shared" si="198"/>
        <v>NMF</v>
      </c>
      <c r="P120" s="125" t="str">
        <f t="shared" si="198"/>
        <v>NMF</v>
      </c>
      <c r="Q120" s="126" t="str">
        <f t="shared" si="198"/>
        <v>NMF</v>
      </c>
      <c r="R120" s="126" t="str">
        <f t="shared" si="198"/>
        <v>NMF</v>
      </c>
      <c r="S120" s="126" t="str">
        <f t="shared" si="198"/>
        <v>NMF</v>
      </c>
      <c r="T120" s="126" t="str">
        <f t="shared" si="198"/>
        <v>NMF</v>
      </c>
      <c r="U120" s="125" t="str">
        <f t="shared" si="198"/>
        <v>NMF</v>
      </c>
      <c r="V120" s="126" t="str">
        <f t="shared" si="198"/>
        <v>NMF</v>
      </c>
      <c r="W120" s="126" t="str">
        <f t="shared" si="198"/>
        <v>NMF</v>
      </c>
      <c r="X120" s="126" t="str">
        <f t="shared" si="198"/>
        <v>NMF</v>
      </c>
      <c r="Y120" s="126" t="str">
        <f t="shared" si="198"/>
        <v>NMF</v>
      </c>
      <c r="Z120" s="125" t="str">
        <f t="shared" si="198"/>
        <v>NMF</v>
      </c>
      <c r="AA120" s="126" t="str">
        <f t="shared" si="198"/>
        <v>NMF</v>
      </c>
      <c r="AB120" s="126" t="str">
        <f t="shared" si="198"/>
        <v>NMF</v>
      </c>
      <c r="AC120" s="126" t="str">
        <f t="shared" si="198"/>
        <v>NMF</v>
      </c>
      <c r="AD120" s="126" t="str">
        <f t="shared" si="198"/>
        <v>NMF</v>
      </c>
      <c r="AE120" s="125" t="str">
        <f t="shared" si="198"/>
        <v>NMF</v>
      </c>
      <c r="AF120" s="126" t="str">
        <f t="shared" si="198"/>
        <v>NMF</v>
      </c>
      <c r="AG120" s="126" t="str">
        <f t="shared" si="198"/>
        <v>NMF</v>
      </c>
      <c r="AH120" s="126" t="str">
        <f t="shared" si="198"/>
        <v>NMF</v>
      </c>
      <c r="AI120" s="126" t="str">
        <f t="shared" si="198"/>
        <v>NMF</v>
      </c>
      <c r="AJ120" s="125" t="str">
        <f t="shared" si="198"/>
        <v>NMF</v>
      </c>
      <c r="AK120" s="126" t="str">
        <f t="shared" si="198"/>
        <v>NMF</v>
      </c>
      <c r="AL120" s="126" t="str">
        <f t="shared" si="198"/>
        <v>NMF</v>
      </c>
      <c r="AM120" s="126" t="str">
        <f t="shared" si="198"/>
        <v>NMF</v>
      </c>
      <c r="AN120" s="126" t="str">
        <f t="shared" si="198"/>
        <v>NMF</v>
      </c>
      <c r="AO120" s="125" t="str">
        <f t="shared" si="198"/>
        <v>NMF</v>
      </c>
      <c r="AP120" s="126" t="str">
        <f t="shared" si="198"/>
        <v>NMF</v>
      </c>
      <c r="AQ120" s="126" t="str">
        <f t="shared" si="198"/>
        <v>NMF</v>
      </c>
      <c r="AR120" s="126" t="str">
        <f t="shared" si="198"/>
        <v>NMF</v>
      </c>
      <c r="AS120" s="126" t="str">
        <f t="shared" si="198"/>
        <v>NMF</v>
      </c>
      <c r="AT120" s="125" t="str">
        <f t="shared" si="198"/>
        <v>NMF</v>
      </c>
      <c r="AU120" s="126">
        <f t="shared" si="198"/>
        <v>3.4684319628916738</v>
      </c>
      <c r="AV120" s="126">
        <f t="shared" si="198"/>
        <v>-0.9973933817184879</v>
      </c>
      <c r="AW120" s="621" t="str">
        <f t="shared" si="198"/>
        <v>NMF</v>
      </c>
      <c r="AX120" s="126" t="str">
        <f t="shared" si="198"/>
        <v>NMF</v>
      </c>
      <c r="AY120" s="125">
        <f t="shared" ca="1" si="198"/>
        <v>-0.58164327350898537</v>
      </c>
      <c r="AZ120" s="126">
        <f t="shared" ca="1" si="198"/>
        <v>0.13308055414105469</v>
      </c>
      <c r="BA120" s="126" t="str">
        <f t="shared" ca="1" si="198"/>
        <v>NMF</v>
      </c>
      <c r="BB120" s="126" t="str">
        <f t="shared" ca="1" si="198"/>
        <v>NMF</v>
      </c>
      <c r="BC120" s="126">
        <f t="shared" ca="1" si="198"/>
        <v>3.4431642667103608</v>
      </c>
      <c r="BD120" s="125">
        <f t="shared" ca="1" si="198"/>
        <v>3.9310763009084706</v>
      </c>
      <c r="BE120" s="125">
        <f ca="1">IF(OR(INDEX(SP_CFA_FCF_PreDiv,0,COLUMN())&lt;=0,BD69&lt;=0),"NMF",IF(ABS((INDEX(SP_CFA_FCF_PreDiv,0,COLUMN())/INDEX(SP_CS_ShareCount,0,COLUMN()))/(BD69/BD5)-1)&gt;10,"NMF",(INDEX(SP_CFA_FCF_PreDiv,0,COLUMN())/INDEX(SP_CS_ShareCount,0,COLUMN()))/(BD69/BD5)-1))</f>
        <v>0.59616747188600616</v>
      </c>
      <c r="BF120" s="125">
        <f ca="1">IF(OR(INDEX(SP_CFA_FCF_PreDiv,0,COLUMN())&lt;=0,BE69&lt;=0),"NMF",IF(ABS((INDEX(SP_CFA_FCF_PreDiv,0,COLUMN())/INDEX(SP_CS_ShareCount,0,COLUMN()))/(BE69/BE5)-1)&gt;10,"NMF",(INDEX(SP_CFA_FCF_PreDiv,0,COLUMN())/INDEX(SP_CS_ShareCount,0,COLUMN()))/(BE69/BE5)-1))</f>
        <v>0.46318397383189791</v>
      </c>
      <c r="BG120" s="125">
        <f ca="1">IF(OR(INDEX(SP_CFA_FCF_PreDiv,0,COLUMN())&lt;=0,BF69&lt;=0),"NMF",IF(ABS((INDEX(SP_CFA_FCF_PreDiv,0,COLUMN())/INDEX(SP_CS_ShareCount,0,COLUMN()))/(BF69/BF5)-1)&gt;10,"NMF",(INDEX(SP_CFA_FCF_PreDiv,0,COLUMN())/INDEX(SP_CS_ShareCount,0,COLUMN()))/(BF69/BF5)-1))</f>
        <v>0.35501426219753518</v>
      </c>
      <c r="BH120" s="225"/>
    </row>
    <row r="121" spans="1:60" customFormat="1" x14ac:dyDescent="0.25">
      <c r="A121" s="249"/>
      <c r="B121" s="254"/>
      <c r="C121" s="956"/>
      <c r="D121" s="956"/>
      <c r="E121" s="956"/>
      <c r="F121" s="956"/>
      <c r="G121" s="957"/>
      <c r="H121" s="957"/>
      <c r="I121" s="957"/>
      <c r="J121" s="957"/>
      <c r="K121" s="956"/>
      <c r="L121" s="957"/>
      <c r="M121" s="957"/>
      <c r="N121" s="957"/>
      <c r="O121" s="957"/>
      <c r="P121" s="956"/>
      <c r="Q121" s="957"/>
      <c r="R121" s="957"/>
      <c r="S121" s="957"/>
      <c r="T121" s="957"/>
      <c r="U121" s="956"/>
      <c r="V121" s="957"/>
      <c r="W121" s="957"/>
      <c r="X121" s="957"/>
      <c r="Y121" s="957"/>
      <c r="Z121" s="956"/>
      <c r="AA121" s="957"/>
      <c r="AB121" s="957"/>
      <c r="AC121" s="957"/>
      <c r="AD121" s="957"/>
      <c r="AE121" s="956"/>
      <c r="AF121" s="957"/>
      <c r="AG121" s="957"/>
      <c r="AH121" s="957"/>
      <c r="AI121" s="957"/>
      <c r="AJ121" s="956"/>
      <c r="AK121" s="957"/>
      <c r="AL121" s="957"/>
      <c r="AM121" s="957"/>
      <c r="AN121" s="957"/>
      <c r="AO121" s="956"/>
      <c r="AP121" s="957"/>
      <c r="AQ121" s="957"/>
      <c r="AR121" s="957"/>
      <c r="AS121" s="957"/>
      <c r="AT121" s="956"/>
      <c r="AU121" s="957"/>
      <c r="AV121" s="957"/>
      <c r="AW121" s="958"/>
      <c r="AX121" s="957"/>
      <c r="AY121" s="956"/>
      <c r="AZ121" s="957"/>
      <c r="BA121" s="957"/>
      <c r="BB121" s="957"/>
      <c r="BC121" s="957"/>
      <c r="BD121" s="956"/>
      <c r="BE121" s="956"/>
      <c r="BF121" s="956"/>
      <c r="BG121" s="956"/>
      <c r="BH121" s="239"/>
    </row>
    <row r="122" spans="1:60" customFormat="1" x14ac:dyDescent="0.25">
      <c r="A122" s="155" t="s">
        <v>375</v>
      </c>
      <c r="B122" s="840"/>
      <c r="C122" s="959"/>
      <c r="D122" s="959"/>
      <c r="E122" s="959"/>
      <c r="F122" s="959"/>
      <c r="G122" s="959"/>
      <c r="H122" s="959"/>
      <c r="I122" s="959"/>
      <c r="J122" s="959"/>
      <c r="K122" s="959"/>
      <c r="L122" s="959"/>
      <c r="M122" s="959"/>
      <c r="N122" s="959"/>
      <c r="O122" s="959"/>
      <c r="P122" s="959"/>
      <c r="Q122" s="959"/>
      <c r="R122" s="959"/>
      <c r="S122" s="959"/>
      <c r="T122" s="959"/>
      <c r="U122" s="959"/>
      <c r="V122" s="959"/>
      <c r="W122" s="959"/>
      <c r="X122" s="959"/>
      <c r="Y122" s="959"/>
      <c r="Z122" s="959"/>
      <c r="AA122" s="959"/>
      <c r="AB122" s="959"/>
      <c r="AC122" s="959"/>
      <c r="AD122" s="959"/>
      <c r="AE122" s="959"/>
      <c r="AF122" s="959"/>
      <c r="AG122" s="959"/>
      <c r="AH122" s="959"/>
      <c r="AI122" s="959"/>
      <c r="AJ122" s="959"/>
      <c r="AK122" s="959"/>
      <c r="AL122" s="959"/>
      <c r="AM122" s="959"/>
      <c r="AN122" s="959"/>
      <c r="AO122" s="959"/>
      <c r="AP122" s="959"/>
      <c r="AQ122" s="959"/>
      <c r="AR122" s="959"/>
      <c r="AS122" s="959"/>
      <c r="AT122" s="959"/>
      <c r="AU122" s="959"/>
      <c r="AV122" s="959"/>
      <c r="AW122" s="960"/>
      <c r="AX122" s="959"/>
      <c r="AY122" s="959"/>
      <c r="AZ122" s="959"/>
      <c r="BA122" s="959"/>
      <c r="BB122" s="959"/>
      <c r="BC122" s="959"/>
      <c r="BD122" s="959"/>
      <c r="BE122" s="959"/>
      <c r="BF122" s="959"/>
      <c r="BG122" s="959"/>
      <c r="BH122" s="239"/>
    </row>
    <row r="123" spans="1:60" customFormat="1" x14ac:dyDescent="0.25">
      <c r="A123" s="268" t="str">
        <f>"P/E - "&amp;SP.ValuationToggle</f>
        <v>P/E - Avg</v>
      </c>
      <c r="B123" s="269"/>
      <c r="C123" s="134">
        <f ca="1">INDEX(SP_CS_StockPrice,0,COLUMN())/INDEX(SP_NGF_EPS,0,COLUMN())</f>
        <v>22.170071983428258</v>
      </c>
      <c r="D123" s="134">
        <f ca="1">INDEX(SP_CS_StockPrice,0,COLUMN())/INDEX(SP_NGF_EPS,0,COLUMN())</f>
        <v>40.177374124200369</v>
      </c>
      <c r="E123" s="134">
        <f ca="1">INDEX(SP_CS_StockPrice,0,COLUMN())/INDEX(SP_NGF_EPS,0,COLUMN())</f>
        <v>6.5538334545784238</v>
      </c>
      <c r="F123" s="134">
        <f ca="1">INDEX(SP_CS_StockPrice,0,COLUMN())/INDEX(SP_NGF_EPS,0,COLUMN())</f>
        <v>287.90051189365289</v>
      </c>
      <c r="G123" s="135"/>
      <c r="H123" s="135"/>
      <c r="I123" s="135"/>
      <c r="J123" s="135"/>
      <c r="K123" s="134">
        <f ca="1">INDEX(SP_CS_StockPrice,0,COLUMN())/INDEX(SP_NGF_EPS,0,COLUMN())</f>
        <v>112.43660238160162</v>
      </c>
      <c r="L123" s="135"/>
      <c r="M123" s="135"/>
      <c r="N123" s="135"/>
      <c r="O123" s="135"/>
      <c r="P123" s="134">
        <f ca="1">INDEX(SP_CS_StockPrice,0,COLUMN())/INDEX(SP_NGF_EPS,0,COLUMN())</f>
        <v>108.58768749972626</v>
      </c>
      <c r="Q123" s="135"/>
      <c r="R123" s="135"/>
      <c r="S123" s="135"/>
      <c r="T123" s="135"/>
      <c r="U123" s="134">
        <f ca="1">INDEX(SP_CS_StockPrice,0,COLUMN())/INDEX(SP_NGF_EPS,0,COLUMN())</f>
        <v>293.56320972767156</v>
      </c>
      <c r="V123" s="135"/>
      <c r="W123" s="136"/>
      <c r="X123" s="136"/>
      <c r="Y123" s="136"/>
      <c r="Z123" s="134">
        <f ca="1">INDEX(SP_CS_StockPrice,0,COLUMN())/INDEX(SP_NGF_EPS,0,COLUMN())</f>
        <v>238.34980886874766</v>
      </c>
      <c r="AA123" s="136"/>
      <c r="AB123" s="136"/>
      <c r="AC123" s="136"/>
      <c r="AD123" s="136"/>
      <c r="AE123" s="134">
        <f ca="1">INDEX(SP_CS_StockPrice,0,COLUMN())/INDEX(SP_NGF_EPS,0,COLUMN())</f>
        <v>129.38867006363964</v>
      </c>
      <c r="AF123" s="136"/>
      <c r="AG123" s="136"/>
      <c r="AH123" s="136"/>
      <c r="AI123" s="136"/>
      <c r="AJ123" s="134">
        <f ca="1">INDEX(SP_CS_StockPrice,0,COLUMN())/INDEX(SP_NGF_EPS,0,COLUMN())</f>
        <v>118.95049180416848</v>
      </c>
      <c r="AK123" s="136"/>
      <c r="AL123" s="136"/>
      <c r="AM123" s="136"/>
      <c r="AN123" s="136"/>
      <c r="AO123" s="134">
        <f ca="1">INDEX(SP_CS_StockPrice,0,COLUMN())/INDEX(SP_NGF_EPS,0,COLUMN())</f>
        <v>79.581796513523528</v>
      </c>
      <c r="AP123" s="136"/>
      <c r="AQ123" s="136"/>
      <c r="AR123" s="136"/>
      <c r="AS123" s="136"/>
      <c r="AT123" s="134">
        <f ca="1">INDEX(SP_CS_StockPrice,0,COLUMN())/INDEX(SP_NGF_EPS,0,COLUMN())</f>
        <v>73.496365047949098</v>
      </c>
      <c r="AU123" s="136"/>
      <c r="AV123" s="136"/>
      <c r="AW123" s="627"/>
      <c r="AX123" s="136"/>
      <c r="AY123" s="134">
        <f ca="1">INDEX(SP_CS_StockPrice,0,COLUMN())/INDEX(SP_NGF_EPS,0,COLUMN())</f>
        <v>51.826493489596523</v>
      </c>
      <c r="AZ123" s="136"/>
      <c r="BA123" s="136"/>
      <c r="BB123" s="136"/>
      <c r="BC123" s="136"/>
      <c r="BD123" s="134">
        <f ca="1">INDEX(SP_CS_StockPrice,0,COLUMN())/INDEX(SP_NGF_EPS,0,COLUMN())</f>
        <v>42.584670702187317</v>
      </c>
      <c r="BE123" s="134">
        <f ca="1">INDEX(SP_CS_StockPrice,0,COLUMN())/INDEX(SP_NGF_EPS,0,COLUMN())</f>
        <v>32.70521398361732</v>
      </c>
      <c r="BF123" s="134">
        <f ca="1">INDEX(SP_CS_StockPrice,0,COLUMN())/INDEX(SP_NGF_EPS,0,COLUMN())</f>
        <v>25.831059426032212</v>
      </c>
      <c r="BG123" s="134">
        <f ca="1">INDEX(SP_CS_StockPrice,0,COLUMN())/INDEX(SP_NGF_EPS,0,COLUMN())</f>
        <v>19.953861776405393</v>
      </c>
      <c r="BH123" s="136"/>
    </row>
    <row r="124" spans="1:60" customFormat="1" x14ac:dyDescent="0.25">
      <c r="A124" s="268" t="str">
        <f>"EV/EBITDA - "&amp;SP.ValuationToggle</f>
        <v>EV/EBITDA - Avg</v>
      </c>
      <c r="B124" s="269"/>
      <c r="C124" s="134">
        <f ca="1">INDEX(SP_CS_EV,0,COLUMN())/INDEX(SP_NGF_EBITDA,0,COLUMN())</f>
        <v>10.2487810849914</v>
      </c>
      <c r="D124" s="134">
        <f ca="1">INDEX(SP_CS_EV,0,COLUMN())/INDEX(SP_NGF_EBITDA,0,COLUMN())</f>
        <v>18.048654299242859</v>
      </c>
      <c r="E124" s="134">
        <f ca="1">INDEX(SP_CS_EV,0,COLUMN())/INDEX(SP_NGF_EBITDA,0,COLUMN())</f>
        <v>2.2521560037765114</v>
      </c>
      <c r="F124" s="134">
        <f ca="1">INDEX(SP_CS_EV,0,COLUMN())/INDEX(SP_NGF_EBITDA,0,COLUMN())</f>
        <v>27.09414245996366</v>
      </c>
      <c r="G124" s="135"/>
      <c r="H124" s="135"/>
      <c r="I124" s="135"/>
      <c r="J124" s="135"/>
      <c r="K124" s="134">
        <f ca="1">INDEX(SP_CS_EV,0,COLUMN())/INDEX(SP_NGF_EBITDA,0,COLUMN())</f>
        <v>39.260667637877688</v>
      </c>
      <c r="L124" s="135"/>
      <c r="M124" s="135"/>
      <c r="N124" s="135"/>
      <c r="O124" s="135"/>
      <c r="P124" s="134">
        <f ca="1">INDEX(SP_CS_EV,0,COLUMN())/INDEX(SP_NGF_EBITDA,0,COLUMN())</f>
        <v>42.086328645865237</v>
      </c>
      <c r="Q124" s="135"/>
      <c r="R124" s="135"/>
      <c r="S124" s="135"/>
      <c r="T124" s="135"/>
      <c r="U124" s="134">
        <f ca="1">INDEX(SP_CS_EV,0,COLUMN())/INDEX(SP_NGF_EBITDA,0,COLUMN())</f>
        <v>79.653661293660633</v>
      </c>
      <c r="V124" s="135"/>
      <c r="W124" s="136"/>
      <c r="X124" s="136"/>
      <c r="Y124" s="136"/>
      <c r="Z124" s="134">
        <f ca="1">INDEX(SP_CS_EV,0,COLUMN())/INDEX(SP_NGF_EBITDA,0,COLUMN())</f>
        <v>75.491811108419739</v>
      </c>
      <c r="AA124" s="136"/>
      <c r="AB124" s="136"/>
      <c r="AC124" s="136"/>
      <c r="AD124" s="136"/>
      <c r="AE124" s="134">
        <f ca="1">INDEX(SP_CS_EV,0,COLUMN())/INDEX(SP_NGF_EBITDA,0,COLUMN())</f>
        <v>69.538238019983567</v>
      </c>
      <c r="AF124" s="136"/>
      <c r="AG124" s="136"/>
      <c r="AH124" s="136"/>
      <c r="AI124" s="136"/>
      <c r="AJ124" s="134">
        <f ca="1">INDEX(SP_CS_EV,0,COLUMN())/INDEX(SP_NGF_EBITDA,0,COLUMN())</f>
        <v>74.974041628770266</v>
      </c>
      <c r="AK124" s="136"/>
      <c r="AL124" s="136"/>
      <c r="AM124" s="136"/>
      <c r="AN124" s="136"/>
      <c r="AO124" s="134">
        <f ca="1">INDEX(SP_CS_EV,0,COLUMN())/INDEX(SP_NGF_EBITDA,0,COLUMN())</f>
        <v>51.362191622805064</v>
      </c>
      <c r="AP124" s="136"/>
      <c r="AQ124" s="136"/>
      <c r="AR124" s="136"/>
      <c r="AS124" s="136"/>
      <c r="AT124" s="134">
        <f ca="1">INDEX(SP_CS_EV,0,COLUMN())/INDEX(SP_NGF_EBITDA,0,COLUMN())</f>
        <v>41.67650329700767</v>
      </c>
      <c r="AU124" s="136"/>
      <c r="AV124" s="136"/>
      <c r="AW124" s="627"/>
      <c r="AX124" s="136"/>
      <c r="AY124" s="134">
        <f ca="1">INDEX(SP_CS_EV,0,COLUMN())/INDEX(SP_NGF_EBITDA,0,COLUMN())</f>
        <v>38.994183519506052</v>
      </c>
      <c r="AZ124" s="136"/>
      <c r="BA124" s="136"/>
      <c r="BB124" s="136"/>
      <c r="BC124" s="136"/>
      <c r="BD124" s="134">
        <f ca="1">INDEX(SP_CS_EV,0,COLUMN())/INDEX(SP_NGF_EBITDA,0,COLUMN())</f>
        <v>29.700876260359763</v>
      </c>
      <c r="BE124" s="134">
        <f ca="1">INDEX(SP_CS_EV,0,COLUMN())/INDEX(SP_NGF_EBITDA,0,COLUMN())</f>
        <v>22.978408892475834</v>
      </c>
      <c r="BF124" s="134">
        <f ca="1">INDEX(SP_CS_EV,0,COLUMN())/INDEX(SP_NGF_EBITDA,0,COLUMN())</f>
        <v>17.910597653767702</v>
      </c>
      <c r="BG124" s="134">
        <f ca="1">INDEX(SP_CS_EV,0,COLUMN())/INDEX(SP_NGF_EBITDA,0,COLUMN())</f>
        <v>13.414277720800182</v>
      </c>
      <c r="BH124" s="136"/>
    </row>
    <row r="125" spans="1:60" customFormat="1" x14ac:dyDescent="0.25">
      <c r="A125" s="268" t="str">
        <f>"P/CF - "&amp;SP.ValuationToggle</f>
        <v>P/CF - Avg</v>
      </c>
      <c r="B125" s="269"/>
      <c r="C125" s="134">
        <f ca="1">INDEX(SP_CS_StockPrice,0,COLUMN())/INDEX(SP_CFA_CFO_PerShare,0,COLUMN())</f>
        <v>8.4918260921310988</v>
      </c>
      <c r="D125" s="134">
        <f ca="1">INDEX(SP_CS_StockPrice,0,COLUMN())/INDEX(SP_CFA_CFO_PerShare,0,COLUMN())</f>
        <v>29.746025103446996</v>
      </c>
      <c r="E125" s="134">
        <f ca="1">INDEX(SP_CS_StockPrice,0,COLUMN())/INDEX(SP_CFA_CFO_PerShare,0,COLUMN())</f>
        <v>7.3322752623454495</v>
      </c>
      <c r="F125" s="134">
        <f ca="1">INDEX(SP_CS_StockPrice,0,COLUMN())/INDEX(SP_CFA_CFO_PerShare,0,COLUMN())</f>
        <v>-1524.0955493828051</v>
      </c>
      <c r="G125" s="135"/>
      <c r="H125" s="135"/>
      <c r="I125" s="135"/>
      <c r="J125" s="135"/>
      <c r="K125" s="134">
        <f ca="1">INDEX(SP_CS_StockPrice,0,COLUMN())/INDEX(SP_CFA_CFO_PerShare,0,COLUMN())</f>
        <v>-655.04678769967563</v>
      </c>
      <c r="L125" s="135"/>
      <c r="M125" s="135"/>
      <c r="N125" s="135"/>
      <c r="O125" s="135"/>
      <c r="P125" s="134">
        <f ca="1">INDEX(SP_CS_StockPrice,0,COLUMN())/INDEX(SP_CFA_CFO_PerShare,0,COLUMN())</f>
        <v>-205.42446234040813</v>
      </c>
      <c r="Q125" s="135"/>
      <c r="R125" s="135"/>
      <c r="S125" s="135"/>
      <c r="T125" s="135"/>
      <c r="U125" s="134">
        <f ca="1">INDEX(SP_CS_StockPrice,0,COLUMN())/INDEX(SP_CFA_CFO_PerShare,0,COLUMN())</f>
        <v>-42.496238325711303</v>
      </c>
      <c r="V125" s="135"/>
      <c r="W125" s="136"/>
      <c r="X125" s="136"/>
      <c r="Y125" s="136"/>
      <c r="Z125" s="134">
        <f ca="1">INDEX(SP_CS_StockPrice,0,COLUMN())/INDEX(SP_CFA_CFO_PerShare,0,COLUMN())</f>
        <v>-26.701648391347856</v>
      </c>
      <c r="AA125" s="136"/>
      <c r="AB125" s="136"/>
      <c r="AC125" s="136"/>
      <c r="AD125" s="136"/>
      <c r="AE125" s="134">
        <f ca="1">INDEX(SP_CS_StockPrice,0,COLUMN())/INDEX(SP_CFA_CFO_PerShare,0,COLUMN())</f>
        <v>-39.19892676938084</v>
      </c>
      <c r="AF125" s="136"/>
      <c r="AG125" s="136"/>
      <c r="AH125" s="136"/>
      <c r="AI125" s="136"/>
      <c r="AJ125" s="134">
        <f ca="1">INDEX(SP_CS_StockPrice,0,COLUMN())/INDEX(SP_CFA_CFO_PerShare,0,COLUMN())</f>
        <v>-48.441800575293563</v>
      </c>
      <c r="AK125" s="136"/>
      <c r="AL125" s="136"/>
      <c r="AM125" s="136"/>
      <c r="AN125" s="136"/>
      <c r="AO125" s="134">
        <f ca="1">INDEX(SP_CS_StockPrice,0,COLUMN())/INDEX(SP_CFA_CFO_PerShare,0,COLUMN())</f>
        <v>-50.701031857751914</v>
      </c>
      <c r="AP125" s="136"/>
      <c r="AQ125" s="136"/>
      <c r="AR125" s="136"/>
      <c r="AS125" s="136"/>
      <c r="AT125" s="134">
        <f ca="1">INDEX(SP_CS_StockPrice,0,COLUMN())/INDEX(SP_CFA_CFO_PerShare,0,COLUMN())</f>
        <v>82.536243096273381</v>
      </c>
      <c r="AU125" s="136"/>
      <c r="AV125" s="136"/>
      <c r="AW125" s="627"/>
      <c r="AX125" s="136"/>
      <c r="AY125" s="134">
        <f ca="1">INDEX(SP_CS_StockPrice,0,COLUMN())/INDEX(SP_CFA_CFO_PerShare,0,COLUMN())</f>
        <v>196.63287741577875</v>
      </c>
      <c r="AZ125" s="136"/>
      <c r="BA125" s="136"/>
      <c r="BB125" s="136"/>
      <c r="BC125" s="136"/>
      <c r="BD125" s="134">
        <f ca="1">INDEX(SP_CS_StockPrice,0,COLUMN())/INDEX(SP_CFA_CFO_PerShare,0,COLUMN())</f>
        <v>56.539077567167205</v>
      </c>
      <c r="BE125" s="134">
        <f ca="1">INDEX(SP_CS_StockPrice,0,COLUMN())/INDEX(SP_CFA_CFO_PerShare,0,COLUMN())</f>
        <v>36.651757857492129</v>
      </c>
      <c r="BF125" s="134">
        <f ca="1">INDEX(SP_CS_StockPrice,0,COLUMN())/INDEX(SP_CFA_CFO_PerShare,0,COLUMN())</f>
        <v>25.519854364004473</v>
      </c>
      <c r="BG125" s="134">
        <f ca="1">INDEX(SP_CS_StockPrice,0,COLUMN())/INDEX(SP_CFA_CFO_PerShare,0,COLUMN())</f>
        <v>19.03590778460951</v>
      </c>
      <c r="BH125" s="136"/>
    </row>
    <row r="126" spans="1:60" customFormat="1" x14ac:dyDescent="0.25">
      <c r="A126" s="267" t="str">
        <f>"FCF Yield % to "&amp;SP.ValuationToggle&amp;" Market Cap"</f>
        <v>FCF Yield % to Avg Market Cap</v>
      </c>
      <c r="B126" s="258"/>
      <c r="C126" s="125">
        <f ca="1">INDEX(SP_CFA_FCF_PreDiv,0,COLUMN())/INDEX(SP_CS_MarketCap,0,COLUMN())</f>
        <v>2.4723737942642255E-2</v>
      </c>
      <c r="D126" s="125">
        <f ca="1">INDEX(SP_CFA_FCF_PreDiv,0,COLUMN())/INDEX(SP_CS_MarketCap,0,COLUMN())</f>
        <v>9.2103068116088805E-3</v>
      </c>
      <c r="E126" s="125">
        <f ca="1">INDEX(SP_CFA_FCF_PreDiv,0,COLUMN())/INDEX(SP_CS_MarketCap,0,COLUMN())</f>
        <v>4.5400375625304391E-2</v>
      </c>
      <c r="F126" s="125">
        <f ca="1">INDEX(SP_CFA_FCF_PreDiv,0,COLUMN())/INDEX(SP_CS_MarketCap,0,COLUMN())</f>
        <v>-1.8588842970495369E-2</v>
      </c>
      <c r="G126" s="126"/>
      <c r="H126" s="126"/>
      <c r="I126" s="126"/>
      <c r="J126" s="126"/>
      <c r="K126" s="125">
        <f ca="1">INDEX(SP_CFA_FCF_PreDiv,0,COLUMN())/INDEX(SP_CS_MarketCap,0,COLUMN())</f>
        <v>-9.8448098022616403E-3</v>
      </c>
      <c r="L126" s="126"/>
      <c r="M126" s="126"/>
      <c r="N126" s="126"/>
      <c r="O126" s="126"/>
      <c r="P126" s="125">
        <f ca="1">INDEX(SP_CFA_FCF_PreDiv,0,COLUMN())/INDEX(SP_CS_MarketCap,0,COLUMN())</f>
        <v>-1.0700331115217659E-2</v>
      </c>
      <c r="Q126" s="126"/>
      <c r="R126" s="126"/>
      <c r="S126" s="126"/>
      <c r="T126" s="126"/>
      <c r="U126" s="125">
        <f ca="1">INDEX(SP_CFA_FCF_PreDiv,0,COLUMN())/INDEX(SP_CS_MarketCap,0,COLUMN())</f>
        <v>-2.7848482309773808E-2</v>
      </c>
      <c r="V126" s="126"/>
      <c r="W126" s="126"/>
      <c r="X126" s="126"/>
      <c r="Y126" s="126"/>
      <c r="Z126" s="125">
        <f ca="1">INDEX(SP_CFA_FCF_PreDiv,0,COLUMN())/INDEX(SP_CS_MarketCap,0,COLUMN())</f>
        <v>-4.1604852496473284E-2</v>
      </c>
      <c r="AA126" s="126"/>
      <c r="AB126" s="126"/>
      <c r="AC126" s="126"/>
      <c r="AD126" s="126"/>
      <c r="AE126" s="125">
        <f ca="1">IFERROR(INDEX(SP_CFA_FCF_PreDiv,0,COLUMN())/INDEX(SP_CS_MarketCap,0,COLUMN()),"n/a")</f>
        <v>-2.8650074100216749E-2</v>
      </c>
      <c r="AF126" s="126"/>
      <c r="AG126" s="126"/>
      <c r="AH126" s="126"/>
      <c r="AI126" s="126"/>
      <c r="AJ126" s="125">
        <f ca="1">IFERROR(INDEX(SP_CFA_FCF_PreDiv,0,COLUMN())/INDEX(SP_CS_MarketCap,0,COLUMN()),"n/a")</f>
        <v>-2.2118447819114085E-2</v>
      </c>
      <c r="AK126" s="126"/>
      <c r="AL126" s="126"/>
      <c r="AM126" s="126"/>
      <c r="AN126" s="126"/>
      <c r="AO126" s="125">
        <f ca="1">IFERROR(INDEX(SP_CFA_FCF_PreDiv,0,COLUMN())/INDEX(SP_CS_MarketCap,0,COLUMN()),"n/a")</f>
        <v>-2.1426572036675477E-2</v>
      </c>
      <c r="AP126" s="126"/>
      <c r="AQ126" s="126"/>
      <c r="AR126" s="126"/>
      <c r="AS126" s="126"/>
      <c r="AT126" s="125">
        <f ca="1">IFERROR(INDEX(SP_CFA_FCF_PreDiv,0,COLUMN())/INDEX(SP_CS_MarketCap,0,COLUMN()),"n/a")</f>
        <v>9.6624926950083512E-3</v>
      </c>
      <c r="AU126" s="126"/>
      <c r="AV126" s="126"/>
      <c r="AW126" s="621"/>
      <c r="AX126" s="126"/>
      <c r="AY126" s="125">
        <f ca="1">INDEX(SP_CFA_FCF_PreDiv,0,COLUMN())/INDEX(SP_CS_MarketCap,0,COLUMN())</f>
        <v>3.2645455234770518E-3</v>
      </c>
      <c r="AZ126" s="126"/>
      <c r="BA126" s="126"/>
      <c r="BB126" s="126"/>
      <c r="BC126" s="126"/>
      <c r="BD126" s="125">
        <f ca="1">INDEX(SP_CFA_FCF_PreDiv,0,COLUMN())/INDEX(SP_CS_MarketCap,0,COLUMN())</f>
        <v>1.6097723064054527E-2</v>
      </c>
      <c r="BE126" s="125">
        <f ca="1">INDEX(SP_CFA_FCF_PreDiv,0,COLUMN())/INDEX(SP_CS_MarketCap,0,COLUMN())</f>
        <v>2.5694661926272969E-2</v>
      </c>
      <c r="BF126" s="125">
        <f ca="1">INDEX(SP_CFA_FCF_PreDiv,0,COLUMN())/INDEX(SP_CS_MarketCap,0,COLUMN())</f>
        <v>3.7596017543551255E-2</v>
      </c>
      <c r="BG126" s="125">
        <f ca="1">INDEX(SP_CFA_FCF_PreDiv,0,COLUMN())/INDEX(SP_CS_MarketCap,0,COLUMN())</f>
        <v>5.0943139973340684E-2</v>
      </c>
      <c r="BH126" s="225"/>
    </row>
    <row r="127" spans="1:60" customFormat="1" x14ac:dyDescent="0.25">
      <c r="A127" s="267" t="str">
        <f>"FCF Yield % to "&amp;SP.ValuationToggle&amp;" Enterprise Value"</f>
        <v>FCF Yield % to Avg Enterprise Value</v>
      </c>
      <c r="B127" s="258"/>
      <c r="C127" s="125">
        <f ca="1">INDEX(SP_CFA_FCF_PreDiv,0,COLUMN())/INDEX(SP_CS_EV,0,COLUMN())</f>
        <v>2.554170918155067E-2</v>
      </c>
      <c r="D127" s="125">
        <f ca="1">INDEX(SP_CFA_FCF_PreDiv,0,COLUMN())/INDEX(SP_CS_EV,0,COLUMN())</f>
        <v>9.4297384411111251E-3</v>
      </c>
      <c r="E127" s="125">
        <f ca="1">INDEX(SP_CFA_FCF_PreDiv,0,COLUMN())/INDEX(SP_CS_EV,0,COLUMN())</f>
        <v>6.2058817742650922E-2</v>
      </c>
      <c r="F127" s="125">
        <f ca="1">INDEX(SP_CFA_FCF_PreDiv,0,COLUMN())/INDEX(SP_CS_EV,0,COLUMN())</f>
        <v>-1.9998511631256637E-2</v>
      </c>
      <c r="G127" s="126"/>
      <c r="H127" s="126"/>
      <c r="I127" s="126"/>
      <c r="J127" s="126"/>
      <c r="K127" s="125">
        <f ca="1">INDEX(SP_CFA_FCF_PreDiv,0,COLUMN())/INDEX(SP_CS_EV,0,COLUMN())</f>
        <v>-1.0346866783396901E-2</v>
      </c>
      <c r="L127" s="126"/>
      <c r="M127" s="126"/>
      <c r="N127" s="126"/>
      <c r="O127" s="126"/>
      <c r="P127" s="125">
        <f ca="1">INDEX(SP_CFA_FCF_PreDiv,0,COLUMN())/INDEX(SP_CS_EV,0,COLUMN())</f>
        <v>-1.1015295965774696E-2</v>
      </c>
      <c r="Q127" s="126"/>
      <c r="R127" s="126"/>
      <c r="S127" s="126"/>
      <c r="T127" s="126"/>
      <c r="U127" s="125">
        <f ca="1">INDEX(SP_CFA_FCF_PreDiv,0,COLUMN())/INDEX(SP_CS_EV,0,COLUMN())</f>
        <v>-2.7805458937347913E-2</v>
      </c>
      <c r="V127" s="126"/>
      <c r="W127" s="126"/>
      <c r="X127" s="126"/>
      <c r="Y127" s="126"/>
      <c r="Z127" s="125">
        <f ca="1">INDEX(SP_CFA_FCF_PreDiv,0,COLUMN())/INDEX(SP_CS_EV,0,COLUMN())</f>
        <v>-4.013411792082322E-2</v>
      </c>
      <c r="AA127" s="126"/>
      <c r="AB127" s="126"/>
      <c r="AC127" s="126"/>
      <c r="AD127" s="126"/>
      <c r="AE127" s="125">
        <f ca="1">INDEX(SP_CFA_FCF_PreDiv,0,COLUMN())/INDEX(SP_CS_EV,0,COLUMN())</f>
        <v>-2.7265575629094155E-2</v>
      </c>
      <c r="AF127" s="126"/>
      <c r="AG127" s="126"/>
      <c r="AH127" s="126"/>
      <c r="AI127" s="126"/>
      <c r="AJ127" s="125">
        <f ca="1">INDEX(SP_CFA_FCF_PreDiv,0,COLUMN())/INDEX(SP_CS_EV,0,COLUMN())</f>
        <v>-2.1156913170943006E-2</v>
      </c>
      <c r="AK127" s="126"/>
      <c r="AL127" s="126"/>
      <c r="AM127" s="126"/>
      <c r="AN127" s="126"/>
      <c r="AO127" s="125">
        <f ca="1">INDEX(SP_CFA_FCF_PreDiv,0,COLUMN())/INDEX(SP_CS_EV,0,COLUMN())</f>
        <v>-1.9908538891561436E-2</v>
      </c>
      <c r="AP127" s="126"/>
      <c r="AQ127" s="126"/>
      <c r="AR127" s="126"/>
      <c r="AS127" s="126"/>
      <c r="AT127" s="125">
        <f ca="1">INDEX(SP_CFA_FCF_PreDiv,0,COLUMN())/INDEX(SP_CS_EV,0,COLUMN())</f>
        <v>9.1970080877513231E-3</v>
      </c>
      <c r="AU127" s="126"/>
      <c r="AV127" s="126"/>
      <c r="AW127" s="621"/>
      <c r="AX127" s="126"/>
      <c r="AY127" s="125">
        <f ca="1">INDEX(SP_CFA_FCF_PreDiv,0,COLUMN())/INDEX(SP_CS_EV,0,COLUMN())</f>
        <v>3.1391191378445232E-3</v>
      </c>
      <c r="AZ127" s="126"/>
      <c r="BA127" s="126"/>
      <c r="BB127" s="126"/>
      <c r="BC127" s="126"/>
      <c r="BD127" s="125">
        <f ca="1">INDEX(SP_CFA_FCF_PreDiv,0,COLUMN())/INDEX(SP_CS_EV,0,COLUMN())</f>
        <v>1.5734227587508365E-2</v>
      </c>
      <c r="BE127" s="125">
        <f ca="1">INDEX(SP_CFA_FCF_PreDiv,0,COLUMN())/INDEX(SP_CS_EV,0,COLUMN())</f>
        <v>2.5784780836702353E-2</v>
      </c>
      <c r="BF127" s="125">
        <f ca="1">INDEX(SP_CFA_FCF_PreDiv,0,COLUMN())/INDEX(SP_CS_EV,0,COLUMN())</f>
        <v>3.9251919648910075E-2</v>
      </c>
      <c r="BG127" s="125">
        <f ca="1">INDEX(SP_CFA_FCF_PreDiv,0,COLUMN())/INDEX(SP_CS_EV,0,COLUMN())</f>
        <v>5.6253482257774934E-2</v>
      </c>
      <c r="BH127" s="225"/>
    </row>
    <row r="128" spans="1:60" customFormat="1" x14ac:dyDescent="0.25">
      <c r="A128" s="267"/>
      <c r="B128" s="258"/>
      <c r="C128" s="125"/>
      <c r="D128" s="125"/>
      <c r="E128" s="125"/>
      <c r="F128" s="125"/>
      <c r="G128" s="126"/>
      <c r="H128" s="126"/>
      <c r="I128" s="126"/>
      <c r="J128" s="126"/>
      <c r="K128" s="125"/>
      <c r="L128" s="126"/>
      <c r="M128" s="126"/>
      <c r="N128" s="126"/>
      <c r="O128" s="126"/>
      <c r="P128" s="125"/>
      <c r="Q128" s="126"/>
      <c r="R128" s="126"/>
      <c r="S128" s="126"/>
      <c r="T128" s="126"/>
      <c r="U128" s="125"/>
      <c r="V128" s="126"/>
      <c r="W128" s="126"/>
      <c r="X128" s="126"/>
      <c r="Y128" s="126"/>
      <c r="Z128" s="125"/>
      <c r="AA128" s="126"/>
      <c r="AB128" s="126"/>
      <c r="AC128" s="126"/>
      <c r="AD128" s="126"/>
      <c r="AE128" s="125"/>
      <c r="AF128" s="126"/>
      <c r="AG128" s="126"/>
      <c r="AH128" s="126"/>
      <c r="AI128" s="126"/>
      <c r="AJ128" s="125"/>
      <c r="AK128" s="126"/>
      <c r="AL128" s="126"/>
      <c r="AM128" s="126"/>
      <c r="AN128" s="126"/>
      <c r="AO128" s="125"/>
      <c r="AP128" s="126"/>
      <c r="AQ128" s="126"/>
      <c r="AR128" s="126"/>
      <c r="AS128" s="126"/>
      <c r="AT128" s="125"/>
      <c r="AU128" s="126"/>
      <c r="AV128" s="126"/>
      <c r="AW128" s="621"/>
      <c r="AX128" s="126"/>
      <c r="AY128" s="125"/>
      <c r="AZ128" s="126"/>
      <c r="BA128" s="126"/>
      <c r="BB128" s="126"/>
      <c r="BC128" s="126"/>
      <c r="BD128" s="125"/>
      <c r="BE128" s="125"/>
      <c r="BF128" s="125"/>
      <c r="BG128" s="125"/>
      <c r="BH128" s="225"/>
    </row>
    <row r="129" spans="1:60" customFormat="1" x14ac:dyDescent="0.25">
      <c r="A129" s="155" t="s">
        <v>376</v>
      </c>
      <c r="B129" s="840"/>
      <c r="C129" s="959"/>
      <c r="D129" s="959"/>
      <c r="E129" s="959"/>
      <c r="F129" s="959"/>
      <c r="G129" s="959"/>
      <c r="H129" s="959"/>
      <c r="I129" s="959"/>
      <c r="J129" s="959"/>
      <c r="K129" s="959"/>
      <c r="L129" s="959"/>
      <c r="M129" s="959"/>
      <c r="N129" s="959"/>
      <c r="O129" s="959"/>
      <c r="P129" s="959"/>
      <c r="Q129" s="959"/>
      <c r="R129" s="959"/>
      <c r="S129" s="959"/>
      <c r="T129" s="959"/>
      <c r="U129" s="959"/>
      <c r="V129" s="959"/>
      <c r="W129" s="959"/>
      <c r="X129" s="959"/>
      <c r="Y129" s="959"/>
      <c r="Z129" s="959"/>
      <c r="AA129" s="959"/>
      <c r="AB129" s="959"/>
      <c r="AC129" s="959"/>
      <c r="AD129" s="959"/>
      <c r="AE129" s="959"/>
      <c r="AF129" s="959"/>
      <c r="AG129" s="959"/>
      <c r="AH129" s="959"/>
      <c r="AI129" s="959"/>
      <c r="AJ129" s="959"/>
      <c r="AK129" s="959"/>
      <c r="AL129" s="959"/>
      <c r="AM129" s="959"/>
      <c r="AN129" s="959"/>
      <c r="AO129" s="959"/>
      <c r="AP129" s="959"/>
      <c r="AQ129" s="959"/>
      <c r="AR129" s="959"/>
      <c r="AS129" s="959"/>
      <c r="AT129" s="959"/>
      <c r="AU129" s="959"/>
      <c r="AV129" s="959"/>
      <c r="AW129" s="960"/>
      <c r="AX129" s="959"/>
      <c r="AY129" s="959"/>
      <c r="AZ129" s="959"/>
      <c r="BA129" s="959"/>
      <c r="BB129" s="959"/>
      <c r="BC129" s="959"/>
      <c r="BD129" s="959"/>
      <c r="BE129" s="959"/>
      <c r="BF129" s="959"/>
      <c r="BG129" s="959"/>
      <c r="BH129" s="239"/>
    </row>
    <row r="130" spans="1:60" customFormat="1" hidden="1" outlineLevel="1" x14ac:dyDescent="0.25">
      <c r="A130" s="841" t="s">
        <v>73</v>
      </c>
      <c r="B130" s="239"/>
      <c r="C130" s="942">
        <f t="shared" ref="C130:AH130" si="199">ROUND(INDEX(SP_NGF_EBITDA,0,COLUMN())-INDEX(MO_RIS_EBITDA_Adj,0,COLUMN()),6)</f>
        <v>0</v>
      </c>
      <c r="D130" s="942">
        <f t="shared" si="199"/>
        <v>0</v>
      </c>
      <c r="E130" s="942">
        <f t="shared" si="199"/>
        <v>0</v>
      </c>
      <c r="F130" s="942">
        <f t="shared" si="199"/>
        <v>0</v>
      </c>
      <c r="G130" s="942">
        <f t="shared" si="199"/>
        <v>0</v>
      </c>
      <c r="H130" s="942">
        <f t="shared" si="199"/>
        <v>0</v>
      </c>
      <c r="I130" s="942">
        <f t="shared" si="199"/>
        <v>0</v>
      </c>
      <c r="J130" s="942">
        <f t="shared" si="199"/>
        <v>0</v>
      </c>
      <c r="K130" s="942">
        <f t="shared" si="199"/>
        <v>0</v>
      </c>
      <c r="L130" s="942">
        <f t="shared" si="199"/>
        <v>0</v>
      </c>
      <c r="M130" s="942">
        <f t="shared" si="199"/>
        <v>0</v>
      </c>
      <c r="N130" s="942">
        <f t="shared" si="199"/>
        <v>0</v>
      </c>
      <c r="O130" s="942">
        <f t="shared" si="199"/>
        <v>0</v>
      </c>
      <c r="P130" s="942">
        <f t="shared" si="199"/>
        <v>0</v>
      </c>
      <c r="Q130" s="942">
        <f t="shared" si="199"/>
        <v>0</v>
      </c>
      <c r="R130" s="942">
        <f t="shared" si="199"/>
        <v>0</v>
      </c>
      <c r="S130" s="942">
        <f t="shared" si="199"/>
        <v>0</v>
      </c>
      <c r="T130" s="942">
        <f t="shared" si="199"/>
        <v>0</v>
      </c>
      <c r="U130" s="942">
        <f t="shared" si="199"/>
        <v>0</v>
      </c>
      <c r="V130" s="942">
        <f t="shared" si="199"/>
        <v>0</v>
      </c>
      <c r="W130" s="942">
        <f t="shared" si="199"/>
        <v>0</v>
      </c>
      <c r="X130" s="942">
        <f t="shared" si="199"/>
        <v>0</v>
      </c>
      <c r="Y130" s="942">
        <f t="shared" si="199"/>
        <v>0</v>
      </c>
      <c r="Z130" s="942">
        <f t="shared" si="199"/>
        <v>0</v>
      </c>
      <c r="AA130" s="942">
        <f t="shared" si="199"/>
        <v>0</v>
      </c>
      <c r="AB130" s="942">
        <f t="shared" si="199"/>
        <v>0</v>
      </c>
      <c r="AC130" s="942">
        <f t="shared" si="199"/>
        <v>0</v>
      </c>
      <c r="AD130" s="942">
        <f t="shared" si="199"/>
        <v>0</v>
      </c>
      <c r="AE130" s="942">
        <f t="shared" si="199"/>
        <v>0</v>
      </c>
      <c r="AF130" s="942">
        <f t="shared" si="199"/>
        <v>0</v>
      </c>
      <c r="AG130" s="942">
        <f t="shared" si="199"/>
        <v>0</v>
      </c>
      <c r="AH130" s="942">
        <f t="shared" si="199"/>
        <v>0</v>
      </c>
      <c r="AI130" s="942">
        <f t="shared" ref="AI130:AY130" si="200">ROUND(INDEX(SP_NGF_EBITDA,0,COLUMN())-INDEX(MO_RIS_EBITDA_Adj,0,COLUMN()),6)</f>
        <v>0</v>
      </c>
      <c r="AJ130" s="942">
        <f t="shared" si="200"/>
        <v>0</v>
      </c>
      <c r="AK130" s="942">
        <f t="shared" si="200"/>
        <v>0</v>
      </c>
      <c r="AL130" s="942">
        <f t="shared" si="200"/>
        <v>0</v>
      </c>
      <c r="AM130" s="942">
        <f t="shared" si="200"/>
        <v>0</v>
      </c>
      <c r="AN130" s="942">
        <f t="shared" si="200"/>
        <v>0</v>
      </c>
      <c r="AO130" s="942">
        <f t="shared" si="200"/>
        <v>0</v>
      </c>
      <c r="AP130" s="942">
        <f t="shared" si="200"/>
        <v>0</v>
      </c>
      <c r="AQ130" s="942">
        <f t="shared" si="200"/>
        <v>0</v>
      </c>
      <c r="AR130" s="942">
        <f>ROUND(INDEX(SP_NGF_EBITDA,0,COLUMN())-INDEX(MO_RIS_EBITDA_Adj,0,COLUMN()),6)</f>
        <v>0</v>
      </c>
      <c r="AS130" s="942">
        <f>ROUND(INDEX(SP_NGF_EBITDA,0,COLUMN())-INDEX(MO_RIS_EBITDA_Adj,0,COLUMN()),6)</f>
        <v>0</v>
      </c>
      <c r="AT130" s="942">
        <f>ROUND(INDEX(SP_NGF_EBITDA,0,COLUMN())-INDEX(MO_RIS_EBITDA_Adj,0,COLUMN()),6)</f>
        <v>0</v>
      </c>
      <c r="AU130" s="942">
        <f t="shared" si="200"/>
        <v>0</v>
      </c>
      <c r="AV130" s="942">
        <f>ROUND(INDEX(SP_NGF_EBITDA,0,COLUMN())-INDEX(MO_RIS_EBITDA_Adj,0,COLUMN()),6)</f>
        <v>0</v>
      </c>
      <c r="AW130" s="943">
        <f>ROUND(INDEX(SP_NGF_EBITDA,0,COLUMN())-INDEX(MO_RIS_EBITDA_Adj,0,COLUMN()),6)</f>
        <v>0</v>
      </c>
      <c r="AX130" s="942">
        <f t="shared" si="200"/>
        <v>0</v>
      </c>
      <c r="AY130" s="942">
        <f t="shared" si="200"/>
        <v>0</v>
      </c>
      <c r="AZ130" s="942">
        <f t="shared" ref="AZ130:BG130" si="201">ROUND(INDEX(SP_NGF_EBITDA,0,COLUMN())-INDEX(MO_RIS_EBITDA_Adj,0,COLUMN()),6)</f>
        <v>0</v>
      </c>
      <c r="BA130" s="942">
        <f t="shared" si="201"/>
        <v>0</v>
      </c>
      <c r="BB130" s="942">
        <f t="shared" si="201"/>
        <v>0</v>
      </c>
      <c r="BC130" s="942">
        <f t="shared" si="201"/>
        <v>0</v>
      </c>
      <c r="BD130" s="942">
        <f t="shared" si="201"/>
        <v>0</v>
      </c>
      <c r="BE130" s="942">
        <f t="shared" si="201"/>
        <v>0</v>
      </c>
      <c r="BF130" s="942">
        <f t="shared" si="201"/>
        <v>0</v>
      </c>
      <c r="BG130" s="942">
        <f t="shared" si="201"/>
        <v>0</v>
      </c>
      <c r="BH130" s="239"/>
    </row>
    <row r="131" spans="1:60" customFormat="1" hidden="1" outlineLevel="1" x14ac:dyDescent="0.25">
      <c r="A131" s="841" t="s">
        <v>87</v>
      </c>
      <c r="B131" s="239"/>
      <c r="C131" s="942">
        <f t="shared" ref="C131:AH131" si="202">ROUND(INDEX(SP_GF_EBIT,0,COLUMN())-INDEX(MO_RIS_EBIT,0,COLUMN()),6)</f>
        <v>0</v>
      </c>
      <c r="D131" s="942">
        <f t="shared" si="202"/>
        <v>0</v>
      </c>
      <c r="E131" s="942">
        <f t="shared" si="202"/>
        <v>0</v>
      </c>
      <c r="F131" s="942">
        <f t="shared" si="202"/>
        <v>0</v>
      </c>
      <c r="G131" s="942">
        <f t="shared" si="202"/>
        <v>0</v>
      </c>
      <c r="H131" s="942">
        <f t="shared" si="202"/>
        <v>0</v>
      </c>
      <c r="I131" s="942">
        <f t="shared" si="202"/>
        <v>0</v>
      </c>
      <c r="J131" s="942">
        <f t="shared" si="202"/>
        <v>0</v>
      </c>
      <c r="K131" s="942">
        <f t="shared" si="202"/>
        <v>0</v>
      </c>
      <c r="L131" s="942">
        <f t="shared" si="202"/>
        <v>0</v>
      </c>
      <c r="M131" s="942">
        <f t="shared" si="202"/>
        <v>0</v>
      </c>
      <c r="N131" s="942">
        <f t="shared" si="202"/>
        <v>0</v>
      </c>
      <c r="O131" s="942">
        <f t="shared" si="202"/>
        <v>0</v>
      </c>
      <c r="P131" s="942">
        <f t="shared" si="202"/>
        <v>0</v>
      </c>
      <c r="Q131" s="942">
        <f t="shared" si="202"/>
        <v>0</v>
      </c>
      <c r="R131" s="942">
        <f t="shared" si="202"/>
        <v>0</v>
      </c>
      <c r="S131" s="942">
        <f t="shared" si="202"/>
        <v>0</v>
      </c>
      <c r="T131" s="942">
        <f t="shared" si="202"/>
        <v>0</v>
      </c>
      <c r="U131" s="942">
        <f t="shared" si="202"/>
        <v>0</v>
      </c>
      <c r="V131" s="942">
        <f t="shared" si="202"/>
        <v>0</v>
      </c>
      <c r="W131" s="942">
        <f t="shared" si="202"/>
        <v>0</v>
      </c>
      <c r="X131" s="942">
        <f t="shared" si="202"/>
        <v>0</v>
      </c>
      <c r="Y131" s="942">
        <f t="shared" si="202"/>
        <v>0</v>
      </c>
      <c r="Z131" s="942">
        <f t="shared" si="202"/>
        <v>0</v>
      </c>
      <c r="AA131" s="942">
        <f t="shared" si="202"/>
        <v>0</v>
      </c>
      <c r="AB131" s="942">
        <f t="shared" si="202"/>
        <v>0</v>
      </c>
      <c r="AC131" s="942">
        <f t="shared" si="202"/>
        <v>0</v>
      </c>
      <c r="AD131" s="942">
        <f t="shared" si="202"/>
        <v>0</v>
      </c>
      <c r="AE131" s="942">
        <f t="shared" si="202"/>
        <v>0</v>
      </c>
      <c r="AF131" s="942">
        <f t="shared" si="202"/>
        <v>0</v>
      </c>
      <c r="AG131" s="942">
        <f t="shared" si="202"/>
        <v>0</v>
      </c>
      <c r="AH131" s="942">
        <f t="shared" si="202"/>
        <v>0</v>
      </c>
      <c r="AI131" s="942">
        <f t="shared" ref="AI131:BG131" si="203">ROUND(INDEX(SP_GF_EBIT,0,COLUMN())-INDEX(MO_RIS_EBIT,0,COLUMN()),6)</f>
        <v>0</v>
      </c>
      <c r="AJ131" s="942">
        <f t="shared" si="203"/>
        <v>0</v>
      </c>
      <c r="AK131" s="942">
        <f t="shared" si="203"/>
        <v>0</v>
      </c>
      <c r="AL131" s="942">
        <f t="shared" si="203"/>
        <v>0</v>
      </c>
      <c r="AM131" s="942">
        <f t="shared" si="203"/>
        <v>0</v>
      </c>
      <c r="AN131" s="942">
        <f t="shared" si="203"/>
        <v>0</v>
      </c>
      <c r="AO131" s="942">
        <f t="shared" si="203"/>
        <v>0</v>
      </c>
      <c r="AP131" s="942">
        <f t="shared" si="203"/>
        <v>0</v>
      </c>
      <c r="AQ131" s="942">
        <f t="shared" si="203"/>
        <v>0</v>
      </c>
      <c r="AR131" s="942">
        <f t="shared" si="203"/>
        <v>0</v>
      </c>
      <c r="AS131" s="942">
        <f t="shared" si="203"/>
        <v>0</v>
      </c>
      <c r="AT131" s="942">
        <f t="shared" si="203"/>
        <v>0</v>
      </c>
      <c r="AU131" s="942">
        <f t="shared" si="203"/>
        <v>0</v>
      </c>
      <c r="AV131" s="942">
        <f t="shared" si="203"/>
        <v>0</v>
      </c>
      <c r="AW131" s="943">
        <f t="shared" si="203"/>
        <v>0</v>
      </c>
      <c r="AX131" s="942">
        <f t="shared" si="203"/>
        <v>0</v>
      </c>
      <c r="AY131" s="942">
        <f t="shared" si="203"/>
        <v>0</v>
      </c>
      <c r="AZ131" s="942">
        <f t="shared" si="203"/>
        <v>0</v>
      </c>
      <c r="BA131" s="942">
        <f t="shared" si="203"/>
        <v>0</v>
      </c>
      <c r="BB131" s="942">
        <f t="shared" si="203"/>
        <v>0</v>
      </c>
      <c r="BC131" s="942">
        <f t="shared" si="203"/>
        <v>0</v>
      </c>
      <c r="BD131" s="942">
        <f t="shared" si="203"/>
        <v>0</v>
      </c>
      <c r="BE131" s="942">
        <f t="shared" si="203"/>
        <v>0</v>
      </c>
      <c r="BF131" s="942">
        <f t="shared" si="203"/>
        <v>0</v>
      </c>
      <c r="BG131" s="942">
        <f t="shared" si="203"/>
        <v>0</v>
      </c>
      <c r="BH131" s="239"/>
    </row>
    <row r="132" spans="1:60" s="57" customFormat="1" hidden="1" outlineLevel="1" x14ac:dyDescent="0.25">
      <c r="A132" s="841" t="s">
        <v>593</v>
      </c>
      <c r="B132" s="239"/>
      <c r="C132" s="942">
        <f t="shared" ref="C132:AH132" si="204">ROUND(INDEX(SP_NGF_EBIT,0,COLUMN())-INDEX(MO_RIS_EBIT_Adj,0,COLUMN()),6)</f>
        <v>0</v>
      </c>
      <c r="D132" s="942">
        <f t="shared" si="204"/>
        <v>0</v>
      </c>
      <c r="E132" s="942">
        <f t="shared" si="204"/>
        <v>0</v>
      </c>
      <c r="F132" s="942">
        <f t="shared" si="204"/>
        <v>0</v>
      </c>
      <c r="G132" s="942">
        <f t="shared" si="204"/>
        <v>0</v>
      </c>
      <c r="H132" s="942">
        <f t="shared" si="204"/>
        <v>0</v>
      </c>
      <c r="I132" s="942">
        <f t="shared" si="204"/>
        <v>0</v>
      </c>
      <c r="J132" s="942">
        <f t="shared" si="204"/>
        <v>0</v>
      </c>
      <c r="K132" s="942">
        <f t="shared" si="204"/>
        <v>0</v>
      </c>
      <c r="L132" s="942">
        <f t="shared" si="204"/>
        <v>0</v>
      </c>
      <c r="M132" s="942">
        <f t="shared" si="204"/>
        <v>0</v>
      </c>
      <c r="N132" s="942">
        <f t="shared" si="204"/>
        <v>0</v>
      </c>
      <c r="O132" s="942">
        <f t="shared" si="204"/>
        <v>0</v>
      </c>
      <c r="P132" s="942">
        <f t="shared" si="204"/>
        <v>0</v>
      </c>
      <c r="Q132" s="942">
        <f t="shared" si="204"/>
        <v>0</v>
      </c>
      <c r="R132" s="942">
        <f t="shared" si="204"/>
        <v>0</v>
      </c>
      <c r="S132" s="942">
        <f t="shared" si="204"/>
        <v>0</v>
      </c>
      <c r="T132" s="942">
        <f t="shared" si="204"/>
        <v>0</v>
      </c>
      <c r="U132" s="942">
        <f t="shared" si="204"/>
        <v>0</v>
      </c>
      <c r="V132" s="942">
        <f t="shared" si="204"/>
        <v>0</v>
      </c>
      <c r="W132" s="942">
        <f t="shared" si="204"/>
        <v>0</v>
      </c>
      <c r="X132" s="942">
        <f t="shared" si="204"/>
        <v>0</v>
      </c>
      <c r="Y132" s="942">
        <f t="shared" si="204"/>
        <v>0</v>
      </c>
      <c r="Z132" s="942">
        <f t="shared" si="204"/>
        <v>0</v>
      </c>
      <c r="AA132" s="942">
        <f t="shared" si="204"/>
        <v>0</v>
      </c>
      <c r="AB132" s="942">
        <f t="shared" si="204"/>
        <v>0</v>
      </c>
      <c r="AC132" s="942">
        <f t="shared" si="204"/>
        <v>0</v>
      </c>
      <c r="AD132" s="942">
        <f t="shared" si="204"/>
        <v>0</v>
      </c>
      <c r="AE132" s="942">
        <f t="shared" si="204"/>
        <v>0</v>
      </c>
      <c r="AF132" s="942">
        <f t="shared" si="204"/>
        <v>0</v>
      </c>
      <c r="AG132" s="942">
        <f t="shared" si="204"/>
        <v>0</v>
      </c>
      <c r="AH132" s="942">
        <f t="shared" si="204"/>
        <v>0</v>
      </c>
      <c r="AI132" s="942">
        <f t="shared" ref="AI132:BG132" si="205">ROUND(INDEX(SP_NGF_EBIT,0,COLUMN())-INDEX(MO_RIS_EBIT_Adj,0,COLUMN()),6)</f>
        <v>0</v>
      </c>
      <c r="AJ132" s="942">
        <f t="shared" si="205"/>
        <v>0</v>
      </c>
      <c r="AK132" s="942">
        <f t="shared" si="205"/>
        <v>0</v>
      </c>
      <c r="AL132" s="942">
        <f t="shared" si="205"/>
        <v>0</v>
      </c>
      <c r="AM132" s="942">
        <f t="shared" si="205"/>
        <v>0</v>
      </c>
      <c r="AN132" s="942">
        <f t="shared" si="205"/>
        <v>0</v>
      </c>
      <c r="AO132" s="942">
        <f t="shared" si="205"/>
        <v>0</v>
      </c>
      <c r="AP132" s="942">
        <f t="shared" si="205"/>
        <v>0</v>
      </c>
      <c r="AQ132" s="942">
        <f t="shared" si="205"/>
        <v>0</v>
      </c>
      <c r="AR132" s="942">
        <f t="shared" si="205"/>
        <v>0</v>
      </c>
      <c r="AS132" s="942">
        <f t="shared" si="205"/>
        <v>0</v>
      </c>
      <c r="AT132" s="942">
        <f t="shared" si="205"/>
        <v>0</v>
      </c>
      <c r="AU132" s="942">
        <f t="shared" si="205"/>
        <v>0</v>
      </c>
      <c r="AV132" s="942">
        <f t="shared" si="205"/>
        <v>0</v>
      </c>
      <c r="AW132" s="943">
        <f t="shared" si="205"/>
        <v>0</v>
      </c>
      <c r="AX132" s="942">
        <f t="shared" si="205"/>
        <v>0</v>
      </c>
      <c r="AY132" s="942">
        <f t="shared" si="205"/>
        <v>0</v>
      </c>
      <c r="AZ132" s="942">
        <f t="shared" si="205"/>
        <v>0</v>
      </c>
      <c r="BA132" s="942">
        <f t="shared" si="205"/>
        <v>0</v>
      </c>
      <c r="BB132" s="942">
        <f t="shared" si="205"/>
        <v>0</v>
      </c>
      <c r="BC132" s="942">
        <f t="shared" si="205"/>
        <v>0</v>
      </c>
      <c r="BD132" s="942">
        <f t="shared" si="205"/>
        <v>0</v>
      </c>
      <c r="BE132" s="942">
        <f t="shared" si="205"/>
        <v>0</v>
      </c>
      <c r="BF132" s="942">
        <f t="shared" si="205"/>
        <v>0</v>
      </c>
      <c r="BG132" s="942">
        <f t="shared" si="205"/>
        <v>0</v>
      </c>
      <c r="BH132" s="239"/>
    </row>
    <row r="133" spans="1:60" customFormat="1" hidden="1" outlineLevel="1" x14ac:dyDescent="0.25">
      <c r="A133" s="841" t="s">
        <v>377</v>
      </c>
      <c r="B133" s="239"/>
      <c r="C133" s="942">
        <f t="shared" ref="C133:AH133" si="206">ROUND(INDEX(SP_NGF_NI,0,COLUMN())-INDEX(MO_RIS_NI_NONGAAP_Diluted,0,COLUMN()),6)</f>
        <v>0</v>
      </c>
      <c r="D133" s="942">
        <f t="shared" si="206"/>
        <v>0</v>
      </c>
      <c r="E133" s="942">
        <f t="shared" si="206"/>
        <v>0</v>
      </c>
      <c r="F133" s="942">
        <f t="shared" si="206"/>
        <v>0</v>
      </c>
      <c r="G133" s="942">
        <f t="shared" si="206"/>
        <v>0</v>
      </c>
      <c r="H133" s="942">
        <f t="shared" si="206"/>
        <v>0</v>
      </c>
      <c r="I133" s="942">
        <f t="shared" si="206"/>
        <v>0</v>
      </c>
      <c r="J133" s="942">
        <f t="shared" si="206"/>
        <v>0</v>
      </c>
      <c r="K133" s="942">
        <f t="shared" si="206"/>
        <v>0</v>
      </c>
      <c r="L133" s="942">
        <f t="shared" si="206"/>
        <v>0</v>
      </c>
      <c r="M133" s="942">
        <f t="shared" si="206"/>
        <v>0</v>
      </c>
      <c r="N133" s="942">
        <f t="shared" si="206"/>
        <v>0</v>
      </c>
      <c r="O133" s="942">
        <f t="shared" si="206"/>
        <v>0</v>
      </c>
      <c r="P133" s="942">
        <f t="shared" si="206"/>
        <v>0</v>
      </c>
      <c r="Q133" s="942">
        <f t="shared" si="206"/>
        <v>0</v>
      </c>
      <c r="R133" s="942">
        <f t="shared" si="206"/>
        <v>0</v>
      </c>
      <c r="S133" s="942">
        <f t="shared" si="206"/>
        <v>0</v>
      </c>
      <c r="T133" s="942">
        <f t="shared" si="206"/>
        <v>0</v>
      </c>
      <c r="U133" s="942">
        <f t="shared" si="206"/>
        <v>0</v>
      </c>
      <c r="V133" s="942">
        <f t="shared" si="206"/>
        <v>0</v>
      </c>
      <c r="W133" s="942">
        <f t="shared" si="206"/>
        <v>0</v>
      </c>
      <c r="X133" s="942">
        <f t="shared" si="206"/>
        <v>0</v>
      </c>
      <c r="Y133" s="942">
        <f t="shared" si="206"/>
        <v>0</v>
      </c>
      <c r="Z133" s="942">
        <f t="shared" si="206"/>
        <v>0</v>
      </c>
      <c r="AA133" s="942">
        <f t="shared" si="206"/>
        <v>0</v>
      </c>
      <c r="AB133" s="942">
        <f t="shared" si="206"/>
        <v>0</v>
      </c>
      <c r="AC133" s="942">
        <f t="shared" si="206"/>
        <v>0</v>
      </c>
      <c r="AD133" s="942">
        <f t="shared" si="206"/>
        <v>0</v>
      </c>
      <c r="AE133" s="942">
        <f t="shared" si="206"/>
        <v>0</v>
      </c>
      <c r="AF133" s="942">
        <f t="shared" si="206"/>
        <v>0</v>
      </c>
      <c r="AG133" s="942">
        <f t="shared" si="206"/>
        <v>0</v>
      </c>
      <c r="AH133" s="942">
        <f t="shared" si="206"/>
        <v>0</v>
      </c>
      <c r="AI133" s="942">
        <f t="shared" ref="AI133:AY133" si="207">ROUND(INDEX(SP_NGF_NI,0,COLUMN())-INDEX(MO_RIS_NI_NONGAAP_Diluted,0,COLUMN()),6)</f>
        <v>0</v>
      </c>
      <c r="AJ133" s="942">
        <f t="shared" si="207"/>
        <v>0</v>
      </c>
      <c r="AK133" s="942">
        <f t="shared" si="207"/>
        <v>0</v>
      </c>
      <c r="AL133" s="942">
        <f t="shared" si="207"/>
        <v>0</v>
      </c>
      <c r="AM133" s="942">
        <f t="shared" si="207"/>
        <v>0</v>
      </c>
      <c r="AN133" s="942">
        <f t="shared" si="207"/>
        <v>0</v>
      </c>
      <c r="AO133" s="942">
        <f t="shared" si="207"/>
        <v>0</v>
      </c>
      <c r="AP133" s="942">
        <f t="shared" si="207"/>
        <v>0</v>
      </c>
      <c r="AQ133" s="942">
        <f t="shared" si="207"/>
        <v>0</v>
      </c>
      <c r="AR133" s="942">
        <f>ROUND(INDEX(SP_NGF_NI,0,COLUMN())-INDEX(MO_RIS_NI_NONGAAP_Diluted,0,COLUMN()),6)</f>
        <v>0</v>
      </c>
      <c r="AS133" s="942">
        <f>ROUND(INDEX(SP_NGF_NI,0,COLUMN())-INDEX(MO_RIS_NI_NONGAAP_Diluted,0,COLUMN()),6)</f>
        <v>0</v>
      </c>
      <c r="AT133" s="942">
        <f>ROUND(INDEX(SP_NGF_NI,0,COLUMN())-INDEX(MO_RIS_NI_NONGAAP_Diluted,0,COLUMN()),6)</f>
        <v>0</v>
      </c>
      <c r="AU133" s="942">
        <f t="shared" si="207"/>
        <v>0</v>
      </c>
      <c r="AV133" s="942">
        <f>ROUND(INDEX(SP_NGF_NI,0,COLUMN())-INDEX(MO_RIS_NI_NONGAAP_Diluted,0,COLUMN()),6)</f>
        <v>0</v>
      </c>
      <c r="AW133" s="943">
        <f>ROUND(INDEX(SP_NGF_NI,0,COLUMN())-INDEX(MO_RIS_NI_NONGAAP_Diluted,0,COLUMN()),6)</f>
        <v>0</v>
      </c>
      <c r="AX133" s="942">
        <f t="shared" si="207"/>
        <v>0</v>
      </c>
      <c r="AY133" s="942">
        <f t="shared" si="207"/>
        <v>0</v>
      </c>
      <c r="AZ133" s="942">
        <f t="shared" ref="AZ133:BG133" ca="1" si="208">ROUND(INDEX(SP_NGF_NI,0,COLUMN())-INDEX(MO_RIS_NI_NONGAAP_Diluted,0,COLUMN()),6)</f>
        <v>0</v>
      </c>
      <c r="BA133" s="942">
        <f t="shared" ca="1" si="208"/>
        <v>0</v>
      </c>
      <c r="BB133" s="942">
        <f t="shared" ca="1" si="208"/>
        <v>0</v>
      </c>
      <c r="BC133" s="942">
        <f t="shared" ca="1" si="208"/>
        <v>0</v>
      </c>
      <c r="BD133" s="942">
        <f t="shared" ca="1" si="208"/>
        <v>0</v>
      </c>
      <c r="BE133" s="942">
        <f t="shared" ca="1" si="208"/>
        <v>0</v>
      </c>
      <c r="BF133" s="942">
        <f t="shared" ca="1" si="208"/>
        <v>0</v>
      </c>
      <c r="BG133" s="942">
        <f t="shared" ca="1" si="208"/>
        <v>0</v>
      </c>
      <c r="BH133" s="239"/>
    </row>
    <row r="134" spans="1:60" customFormat="1" hidden="1" outlineLevel="1" x14ac:dyDescent="0.25">
      <c r="A134" s="841" t="s">
        <v>378</v>
      </c>
      <c r="B134" s="239"/>
      <c r="C134" s="942">
        <f t="shared" ref="C134:AH134" si="209">ROUND(INDEX(SP_GF_NI,0,COLUMN())-INDEX(MO_RIS_NI_GAAP_Basic,0,COLUMN()),6)</f>
        <v>0</v>
      </c>
      <c r="D134" s="942">
        <f t="shared" si="209"/>
        <v>0</v>
      </c>
      <c r="E134" s="942">
        <f t="shared" si="209"/>
        <v>0</v>
      </c>
      <c r="F134" s="942">
        <f t="shared" si="209"/>
        <v>0</v>
      </c>
      <c r="G134" s="942">
        <f t="shared" si="209"/>
        <v>0</v>
      </c>
      <c r="H134" s="942">
        <f t="shared" si="209"/>
        <v>0</v>
      </c>
      <c r="I134" s="942">
        <f t="shared" si="209"/>
        <v>0</v>
      </c>
      <c r="J134" s="942">
        <f t="shared" si="209"/>
        <v>0</v>
      </c>
      <c r="K134" s="942">
        <f t="shared" si="209"/>
        <v>0</v>
      </c>
      <c r="L134" s="942">
        <f t="shared" si="209"/>
        <v>0</v>
      </c>
      <c r="M134" s="942">
        <f t="shared" si="209"/>
        <v>0</v>
      </c>
      <c r="N134" s="942">
        <f t="shared" si="209"/>
        <v>0</v>
      </c>
      <c r="O134" s="942">
        <f t="shared" si="209"/>
        <v>0</v>
      </c>
      <c r="P134" s="942">
        <f t="shared" si="209"/>
        <v>0</v>
      </c>
      <c r="Q134" s="942">
        <f t="shared" si="209"/>
        <v>0</v>
      </c>
      <c r="R134" s="942">
        <f t="shared" si="209"/>
        <v>0</v>
      </c>
      <c r="S134" s="942">
        <f t="shared" si="209"/>
        <v>0</v>
      </c>
      <c r="T134" s="942">
        <f t="shared" si="209"/>
        <v>0</v>
      </c>
      <c r="U134" s="942">
        <f t="shared" si="209"/>
        <v>0</v>
      </c>
      <c r="V134" s="942">
        <f t="shared" si="209"/>
        <v>0</v>
      </c>
      <c r="W134" s="942">
        <f t="shared" si="209"/>
        <v>0</v>
      </c>
      <c r="X134" s="942">
        <f t="shared" si="209"/>
        <v>0</v>
      </c>
      <c r="Y134" s="942">
        <f t="shared" si="209"/>
        <v>0</v>
      </c>
      <c r="Z134" s="942">
        <f t="shared" si="209"/>
        <v>0</v>
      </c>
      <c r="AA134" s="942">
        <f t="shared" si="209"/>
        <v>0</v>
      </c>
      <c r="AB134" s="942">
        <f t="shared" si="209"/>
        <v>0</v>
      </c>
      <c r="AC134" s="942">
        <f t="shared" si="209"/>
        <v>0</v>
      </c>
      <c r="AD134" s="942">
        <f t="shared" si="209"/>
        <v>0</v>
      </c>
      <c r="AE134" s="942">
        <f t="shared" si="209"/>
        <v>0</v>
      </c>
      <c r="AF134" s="942">
        <f t="shared" si="209"/>
        <v>0</v>
      </c>
      <c r="AG134" s="942">
        <f t="shared" si="209"/>
        <v>0</v>
      </c>
      <c r="AH134" s="942">
        <f t="shared" si="209"/>
        <v>0</v>
      </c>
      <c r="AI134" s="942">
        <f t="shared" ref="AI134:AY134" si="210">ROUND(INDEX(SP_GF_NI,0,COLUMN())-INDEX(MO_RIS_NI_GAAP_Basic,0,COLUMN()),6)</f>
        <v>0</v>
      </c>
      <c r="AJ134" s="942">
        <f t="shared" si="210"/>
        <v>0</v>
      </c>
      <c r="AK134" s="942">
        <f t="shared" si="210"/>
        <v>0</v>
      </c>
      <c r="AL134" s="942">
        <f t="shared" si="210"/>
        <v>0</v>
      </c>
      <c r="AM134" s="942">
        <f t="shared" si="210"/>
        <v>0</v>
      </c>
      <c r="AN134" s="942">
        <f t="shared" si="210"/>
        <v>0</v>
      </c>
      <c r="AO134" s="942">
        <f t="shared" si="210"/>
        <v>0</v>
      </c>
      <c r="AP134" s="942">
        <f t="shared" si="210"/>
        <v>0</v>
      </c>
      <c r="AQ134" s="942">
        <f t="shared" si="210"/>
        <v>0</v>
      </c>
      <c r="AR134" s="942">
        <f>ROUND(INDEX(SP_GF_NI,0,COLUMN())-INDEX(MO_RIS_NI_GAAP_Basic,0,COLUMN()),6)</f>
        <v>0</v>
      </c>
      <c r="AS134" s="942">
        <f>ROUND(INDEX(SP_GF_NI,0,COLUMN())-INDEX(MO_RIS_NI_GAAP_Basic,0,COLUMN()),6)</f>
        <v>0</v>
      </c>
      <c r="AT134" s="942">
        <f>ROUND(INDEX(SP_GF_NI,0,COLUMN())-INDEX(MO_RIS_NI_GAAP_Basic,0,COLUMN()),6)</f>
        <v>0</v>
      </c>
      <c r="AU134" s="942">
        <f t="shared" si="210"/>
        <v>0</v>
      </c>
      <c r="AV134" s="942">
        <f>ROUND(INDEX(SP_GF_NI,0,COLUMN())-INDEX(MO_RIS_NI_GAAP_Basic,0,COLUMN()),6)</f>
        <v>0</v>
      </c>
      <c r="AW134" s="943">
        <f>ROUND(INDEX(SP_GF_NI,0,COLUMN())-INDEX(MO_RIS_NI_GAAP_Basic,0,COLUMN()),6)</f>
        <v>0</v>
      </c>
      <c r="AX134" s="942">
        <f t="shared" si="210"/>
        <v>0</v>
      </c>
      <c r="AY134" s="942">
        <f t="shared" si="210"/>
        <v>0</v>
      </c>
      <c r="AZ134" s="942">
        <f t="shared" ref="AZ134:BG134" ca="1" si="211">ROUND(INDEX(SP_GF_NI,0,COLUMN())-INDEX(MO_RIS_NI_GAAP_Basic,0,COLUMN()),6)</f>
        <v>0</v>
      </c>
      <c r="BA134" s="942">
        <f t="shared" ca="1" si="211"/>
        <v>0</v>
      </c>
      <c r="BB134" s="942">
        <f t="shared" ca="1" si="211"/>
        <v>0</v>
      </c>
      <c r="BC134" s="942">
        <f t="shared" ca="1" si="211"/>
        <v>0</v>
      </c>
      <c r="BD134" s="942">
        <f t="shared" ca="1" si="211"/>
        <v>0</v>
      </c>
      <c r="BE134" s="942">
        <f t="shared" ca="1" si="211"/>
        <v>0</v>
      </c>
      <c r="BF134" s="942">
        <f t="shared" ca="1" si="211"/>
        <v>0</v>
      </c>
      <c r="BG134" s="942">
        <f t="shared" ca="1" si="211"/>
        <v>0</v>
      </c>
      <c r="BH134" s="239"/>
    </row>
    <row r="135" spans="1:60" customFormat="1" hidden="1" outlineLevel="1" x14ac:dyDescent="0.25">
      <c r="A135" s="841" t="s">
        <v>379</v>
      </c>
      <c r="B135" s="239"/>
      <c r="C135" s="942">
        <f t="shared" ref="C135:AH135" ca="1" si="212">ROUND(INDEX(SP_CFA_NetChange,0,COLUMN())-INDEX(MO_CFS_NetChange,0,COLUMN()),6)</f>
        <v>0</v>
      </c>
      <c r="D135" s="942">
        <f t="shared" ca="1" si="212"/>
        <v>0</v>
      </c>
      <c r="E135" s="942">
        <f t="shared" ca="1" si="212"/>
        <v>0</v>
      </c>
      <c r="F135" s="942">
        <f t="shared" ca="1" si="212"/>
        <v>0</v>
      </c>
      <c r="G135" s="942">
        <f t="shared" ca="1" si="212"/>
        <v>0</v>
      </c>
      <c r="H135" s="942">
        <f t="shared" ca="1" si="212"/>
        <v>0</v>
      </c>
      <c r="I135" s="942">
        <f t="shared" ca="1" si="212"/>
        <v>0</v>
      </c>
      <c r="J135" s="942">
        <f t="shared" ca="1" si="212"/>
        <v>0</v>
      </c>
      <c r="K135" s="942">
        <f t="shared" ca="1" si="212"/>
        <v>0</v>
      </c>
      <c r="L135" s="942">
        <f t="shared" ca="1" si="212"/>
        <v>0</v>
      </c>
      <c r="M135" s="942">
        <f t="shared" ca="1" si="212"/>
        <v>0</v>
      </c>
      <c r="N135" s="942">
        <f t="shared" ca="1" si="212"/>
        <v>0</v>
      </c>
      <c r="O135" s="942">
        <f t="shared" ca="1" si="212"/>
        <v>0</v>
      </c>
      <c r="P135" s="942">
        <f t="shared" ca="1" si="212"/>
        <v>0</v>
      </c>
      <c r="Q135" s="942">
        <f t="shared" ca="1" si="212"/>
        <v>0</v>
      </c>
      <c r="R135" s="942">
        <f t="shared" ca="1" si="212"/>
        <v>0</v>
      </c>
      <c r="S135" s="942">
        <f t="shared" ca="1" si="212"/>
        <v>0</v>
      </c>
      <c r="T135" s="942">
        <f t="shared" ca="1" si="212"/>
        <v>0</v>
      </c>
      <c r="U135" s="942">
        <f t="shared" ca="1" si="212"/>
        <v>0</v>
      </c>
      <c r="V135" s="942">
        <f t="shared" ca="1" si="212"/>
        <v>0</v>
      </c>
      <c r="W135" s="942">
        <f t="shared" ca="1" si="212"/>
        <v>0</v>
      </c>
      <c r="X135" s="942">
        <f t="shared" ca="1" si="212"/>
        <v>0</v>
      </c>
      <c r="Y135" s="942">
        <f t="shared" ca="1" si="212"/>
        <v>0</v>
      </c>
      <c r="Z135" s="942">
        <f t="shared" ca="1" si="212"/>
        <v>0</v>
      </c>
      <c r="AA135" s="942">
        <f t="shared" ca="1" si="212"/>
        <v>0</v>
      </c>
      <c r="AB135" s="942">
        <f t="shared" ca="1" si="212"/>
        <v>0</v>
      </c>
      <c r="AC135" s="942">
        <f t="shared" ca="1" si="212"/>
        <v>0</v>
      </c>
      <c r="AD135" s="942">
        <f t="shared" ca="1" si="212"/>
        <v>0</v>
      </c>
      <c r="AE135" s="942">
        <f t="shared" ca="1" si="212"/>
        <v>0</v>
      </c>
      <c r="AF135" s="942">
        <f t="shared" ca="1" si="212"/>
        <v>0</v>
      </c>
      <c r="AG135" s="942">
        <f t="shared" ca="1" si="212"/>
        <v>0</v>
      </c>
      <c r="AH135" s="942">
        <f t="shared" ca="1" si="212"/>
        <v>0</v>
      </c>
      <c r="AI135" s="942">
        <f t="shared" ref="AI135:AY135" ca="1" si="213">ROUND(INDEX(SP_CFA_NetChange,0,COLUMN())-INDEX(MO_CFS_NetChange,0,COLUMN()),6)</f>
        <v>0</v>
      </c>
      <c r="AJ135" s="942">
        <f t="shared" ca="1" si="213"/>
        <v>0</v>
      </c>
      <c r="AK135" s="942">
        <f t="shared" ca="1" si="213"/>
        <v>0</v>
      </c>
      <c r="AL135" s="942">
        <f t="shared" ca="1" si="213"/>
        <v>0</v>
      </c>
      <c r="AM135" s="942">
        <f t="shared" ca="1" si="213"/>
        <v>0</v>
      </c>
      <c r="AN135" s="942">
        <f t="shared" ca="1" si="213"/>
        <v>0</v>
      </c>
      <c r="AO135" s="942">
        <f t="shared" ca="1" si="213"/>
        <v>0</v>
      </c>
      <c r="AP135" s="942">
        <f t="shared" ca="1" si="213"/>
        <v>0</v>
      </c>
      <c r="AQ135" s="942">
        <f t="shared" ca="1" si="213"/>
        <v>0</v>
      </c>
      <c r="AR135" s="942">
        <f ca="1">ROUND(INDEX(SP_CFA_NetChange,0,COLUMN())-INDEX(MO_CFS_NetChange,0,COLUMN()),6)</f>
        <v>0</v>
      </c>
      <c r="AS135" s="942">
        <f ca="1">ROUND(INDEX(SP_CFA_NetChange,0,COLUMN())-INDEX(MO_CFS_NetChange,0,COLUMN()),6)</f>
        <v>0</v>
      </c>
      <c r="AT135" s="942">
        <f ca="1">ROUND(INDEX(SP_CFA_NetChange,0,COLUMN())-INDEX(MO_CFS_NetChange,0,COLUMN()),6)</f>
        <v>0</v>
      </c>
      <c r="AU135" s="942">
        <f t="shared" ca="1" si="213"/>
        <v>0</v>
      </c>
      <c r="AV135" s="942">
        <f ca="1">ROUND(INDEX(SP_CFA_NetChange,0,COLUMN())-INDEX(MO_CFS_NetChange,0,COLUMN()),6)</f>
        <v>0</v>
      </c>
      <c r="AW135" s="943">
        <f ca="1">ROUND(INDEX(SP_CFA_NetChange,0,COLUMN())-INDEX(MO_CFS_NetChange,0,COLUMN()),6)</f>
        <v>0</v>
      </c>
      <c r="AX135" s="942">
        <f t="shared" ca="1" si="213"/>
        <v>0</v>
      </c>
      <c r="AY135" s="942">
        <f t="shared" ca="1" si="213"/>
        <v>0</v>
      </c>
      <c r="AZ135" s="942">
        <f t="shared" ref="AZ135:BG135" ca="1" si="214">ROUND(INDEX(SP_CFA_NetChange,0,COLUMN())-INDEX(MO_CFS_NetChange,0,COLUMN()),6)</f>
        <v>0</v>
      </c>
      <c r="BA135" s="942">
        <f t="shared" ca="1" si="214"/>
        <v>0</v>
      </c>
      <c r="BB135" s="942">
        <f t="shared" ca="1" si="214"/>
        <v>0</v>
      </c>
      <c r="BC135" s="942">
        <f t="shared" ca="1" si="214"/>
        <v>0</v>
      </c>
      <c r="BD135" s="942">
        <f t="shared" ca="1" si="214"/>
        <v>0</v>
      </c>
      <c r="BE135" s="942">
        <f t="shared" ca="1" si="214"/>
        <v>0</v>
      </c>
      <c r="BF135" s="942">
        <f t="shared" ca="1" si="214"/>
        <v>0</v>
      </c>
      <c r="BG135" s="942">
        <f t="shared" ca="1" si="214"/>
        <v>0</v>
      </c>
      <c r="BH135" s="239"/>
    </row>
    <row r="136" spans="1:60" customFormat="1" collapsed="1" x14ac:dyDescent="0.25">
      <c r="A136" s="239"/>
      <c r="B136" s="239"/>
      <c r="C136" s="455"/>
      <c r="D136" s="455"/>
      <c r="E136" s="455"/>
      <c r="F136" s="455"/>
      <c r="G136" s="239"/>
      <c r="H136" s="239"/>
      <c r="I136" s="239"/>
      <c r="J136" s="239"/>
      <c r="K136" s="455"/>
      <c r="L136" s="239"/>
      <c r="M136" s="239"/>
      <c r="N136" s="239"/>
      <c r="O136" s="239"/>
      <c r="P136" s="455"/>
      <c r="Q136" s="239"/>
      <c r="R136" s="239"/>
      <c r="S136" s="239"/>
      <c r="T136" s="239"/>
      <c r="U136" s="455"/>
      <c r="V136" s="239"/>
      <c r="W136" s="239"/>
      <c r="X136" s="239"/>
      <c r="Y136" s="239"/>
      <c r="Z136" s="455"/>
      <c r="AA136" s="239"/>
      <c r="AB136" s="239"/>
      <c r="AC136" s="239"/>
      <c r="AD136" s="239"/>
      <c r="AE136" s="455"/>
      <c r="AF136" s="239"/>
      <c r="AG136" s="239"/>
      <c r="AH136" s="239"/>
      <c r="AI136" s="239"/>
      <c r="AJ136" s="455"/>
      <c r="AK136" s="239"/>
      <c r="AL136" s="239"/>
      <c r="AM136" s="239"/>
      <c r="AN136" s="239"/>
      <c r="AO136" s="455"/>
      <c r="AP136" s="239"/>
      <c r="AQ136" s="239"/>
      <c r="AR136" s="239"/>
      <c r="AS136" s="239"/>
      <c r="AT136" s="455"/>
      <c r="AU136" s="239"/>
      <c r="AV136" s="239"/>
      <c r="AW136" s="628"/>
      <c r="AX136" s="239"/>
      <c r="AY136" s="455"/>
      <c r="AZ136" s="239"/>
      <c r="BA136" s="239"/>
      <c r="BB136" s="239"/>
      <c r="BC136" s="239"/>
      <c r="BD136" s="455"/>
      <c r="BE136" s="455"/>
      <c r="BF136" s="455"/>
      <c r="BG136" s="455"/>
      <c r="BH136" s="239"/>
    </row>
    <row r="137" spans="1:60" customFormat="1" x14ac:dyDescent="0.25">
      <c r="A137" s="449" t="s">
        <v>564</v>
      </c>
      <c r="B137" s="450"/>
      <c r="C137" s="450"/>
      <c r="D137" s="450"/>
      <c r="E137" s="450"/>
      <c r="F137" s="450"/>
      <c r="G137" s="450"/>
      <c r="H137" s="450"/>
      <c r="I137" s="450"/>
      <c r="J137" s="450"/>
      <c r="K137" s="450"/>
      <c r="L137" s="450"/>
      <c r="M137" s="450"/>
      <c r="N137" s="450"/>
      <c r="O137" s="450"/>
      <c r="P137" s="450"/>
      <c r="Q137" s="450"/>
      <c r="R137" s="450"/>
      <c r="S137" s="450"/>
      <c r="T137" s="450"/>
      <c r="U137" s="450"/>
      <c r="V137" s="450"/>
      <c r="W137" s="450"/>
      <c r="X137" s="450"/>
      <c r="Y137" s="450"/>
      <c r="Z137" s="450"/>
      <c r="AA137" s="450"/>
      <c r="AB137" s="450"/>
      <c r="AC137" s="450"/>
      <c r="AD137" s="450"/>
      <c r="AE137" s="450"/>
      <c r="AF137" s="450"/>
      <c r="AG137" s="450"/>
      <c r="AH137" s="450"/>
      <c r="AI137" s="450"/>
      <c r="AJ137" s="450"/>
      <c r="AK137" s="450"/>
      <c r="AL137" s="450"/>
      <c r="AM137" s="450"/>
      <c r="AN137" s="450"/>
      <c r="AO137" s="450"/>
      <c r="AP137" s="450"/>
      <c r="AQ137" s="450"/>
      <c r="AR137" s="450"/>
      <c r="AS137" s="450"/>
      <c r="AT137" s="450"/>
      <c r="AU137" s="450"/>
      <c r="AV137" s="450"/>
      <c r="AW137" s="450"/>
      <c r="AX137" s="450"/>
      <c r="AY137" s="450"/>
      <c r="AZ137" s="450"/>
      <c r="BA137" s="450"/>
      <c r="BB137" s="450"/>
      <c r="BC137" s="450"/>
      <c r="BD137" s="450"/>
      <c r="BE137" s="450"/>
      <c r="BF137" s="450"/>
      <c r="BG137" s="450"/>
      <c r="BH137" s="239"/>
    </row>
    <row r="138" spans="1:60" customFormat="1" collapsed="1" x14ac:dyDescent="0.25">
      <c r="A138" s="391"/>
      <c r="B138" s="239"/>
      <c r="C138" s="239"/>
      <c r="D138" s="239"/>
      <c r="E138" s="239"/>
      <c r="F138" s="239"/>
      <c r="G138" s="239"/>
      <c r="H138" s="239"/>
      <c r="I138" s="239"/>
      <c r="J138" s="239"/>
      <c r="K138" s="239"/>
      <c r="L138" s="239"/>
      <c r="M138" s="239"/>
      <c r="N138" s="239"/>
      <c r="O138" s="239"/>
      <c r="P138" s="239"/>
      <c r="Q138" s="239"/>
      <c r="R138" s="239"/>
      <c r="S138" s="239"/>
      <c r="T138" s="239"/>
      <c r="U138" s="239"/>
      <c r="V138" s="239"/>
      <c r="W138" s="239"/>
      <c r="X138" s="239"/>
      <c r="Y138" s="239"/>
      <c r="Z138" s="239"/>
      <c r="AA138" s="239"/>
      <c r="AB138" s="239"/>
      <c r="AC138" s="239"/>
      <c r="AD138" s="239"/>
      <c r="AE138" s="239"/>
      <c r="AF138" s="239"/>
      <c r="AG138" s="239"/>
      <c r="AH138" s="239"/>
      <c r="AI138" s="239"/>
      <c r="AJ138" s="239"/>
      <c r="AK138" s="239"/>
      <c r="AL138" s="239"/>
      <c r="AM138" s="239"/>
      <c r="AN138" s="239"/>
      <c r="AO138" s="239"/>
      <c r="AP138" s="239"/>
      <c r="AQ138" s="239"/>
      <c r="AR138" s="239"/>
      <c r="AS138" s="239"/>
      <c r="AT138" s="239"/>
      <c r="AU138" s="239"/>
      <c r="AV138" s="239"/>
      <c r="AW138" s="239"/>
      <c r="AX138" s="239"/>
      <c r="AY138" s="239"/>
      <c r="AZ138" s="239"/>
      <c r="BA138" s="239"/>
      <c r="BB138" s="239"/>
      <c r="BC138" s="239"/>
      <c r="BD138" s="239"/>
      <c r="BE138" s="239"/>
      <c r="BF138" s="239"/>
      <c r="BG138" s="239"/>
      <c r="BH138" s="239"/>
    </row>
  </sheetData>
  <conditionalFormatting sqref="C130:BG135">
    <cfRule type="cellIs" dxfId="1" priority="67" operator="equal">
      <formula>0</formula>
    </cfRule>
  </conditionalFormatting>
  <conditionalFormatting sqref="C130:BG135">
    <cfRule type="cellIs" dxfId="0" priority="68" operator="notEqual">
      <formula>0</formula>
    </cfRule>
  </conditionalFormatting>
  <dataValidations count="1">
    <dataValidation type="list" allowBlank="1" showInputMessage="1" showErrorMessage="1" sqref="B4" xr:uid="{00000000-0002-0000-0400-000000000000}">
      <formula1>OFFSET(tb_ValuationToggle,1,0,3,1)</formula1>
    </dataValidation>
  </dataValidations>
  <pageMargins left="0.7" right="0.7" top="0.75" bottom="0.75" header="0.3" footer="0.3"/>
  <pageSetup scale="3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1"/>
  <dimension ref="A1:J62"/>
  <sheetViews>
    <sheetView showGridLines="0" zoomScaleNormal="100" workbookViewId="0"/>
  </sheetViews>
  <sheetFormatPr defaultColWidth="8.85546875" defaultRowHeight="15" x14ac:dyDescent="0.25"/>
  <cols>
    <col min="1" max="1" width="4.42578125" style="13" customWidth="1"/>
    <col min="2" max="2" width="9.85546875" style="13" customWidth="1"/>
    <col min="3" max="3" width="15.7109375" style="13" customWidth="1"/>
    <col min="4" max="4" width="20.7109375" style="13" customWidth="1"/>
    <col min="5" max="5" width="30.7109375" style="13" customWidth="1"/>
    <col min="6" max="6" width="20.7109375" style="13"/>
    <col min="7" max="7" width="23.7109375" style="13" customWidth="1"/>
    <col min="8" max="8" width="45.7109375" style="13" customWidth="1"/>
    <col min="9" max="9" width="7.85546875" style="13" customWidth="1"/>
    <col min="10" max="13" width="8.85546875" style="13" customWidth="1"/>
    <col min="14" max="16384" width="8.85546875" style="13"/>
  </cols>
  <sheetData>
    <row r="1" spans="1:10" x14ac:dyDescent="0.25">
      <c r="A1" s="35"/>
      <c r="B1" s="35"/>
      <c r="C1" s="35"/>
      <c r="D1" s="35"/>
      <c r="E1" s="35"/>
      <c r="F1" s="35"/>
      <c r="G1" s="35"/>
      <c r="H1" s="35"/>
    </row>
    <row r="2" spans="1:10" x14ac:dyDescent="0.25">
      <c r="A2" s="35"/>
      <c r="B2" s="22"/>
      <c r="C2" s="22"/>
      <c r="D2" s="22"/>
      <c r="E2" s="22"/>
      <c r="F2" s="22"/>
      <c r="G2" s="22"/>
      <c r="H2" s="22"/>
      <c r="I2" s="22"/>
    </row>
    <row r="3" spans="1:10" x14ac:dyDescent="0.25">
      <c r="A3" s="35"/>
      <c r="B3" s="22"/>
      <c r="C3" s="22"/>
      <c r="D3" s="22"/>
      <c r="E3" s="22"/>
      <c r="F3" s="22"/>
      <c r="G3" s="22"/>
      <c r="H3" s="22"/>
      <c r="I3" s="22"/>
    </row>
    <row r="4" spans="1:10" x14ac:dyDescent="0.25">
      <c r="A4" s="35"/>
      <c r="B4" s="22"/>
      <c r="C4" s="22"/>
      <c r="D4" s="22"/>
      <c r="E4" s="22"/>
      <c r="F4" s="22"/>
      <c r="G4" s="22"/>
      <c r="H4" s="22"/>
      <c r="I4" s="22"/>
    </row>
    <row r="5" spans="1:10" x14ac:dyDescent="0.25">
      <c r="A5" s="35"/>
      <c r="B5" s="22"/>
      <c r="C5" s="22"/>
      <c r="D5" s="22"/>
      <c r="E5" s="22"/>
      <c r="F5" s="22"/>
      <c r="G5" s="22"/>
      <c r="H5" s="22"/>
      <c r="I5" s="22"/>
    </row>
    <row r="6" spans="1:10" x14ac:dyDescent="0.25">
      <c r="A6" s="35"/>
      <c r="B6" s="22"/>
      <c r="C6" s="22"/>
      <c r="D6" s="22"/>
      <c r="E6" s="22"/>
      <c r="F6" s="22"/>
      <c r="G6" s="22"/>
      <c r="H6" s="22"/>
      <c r="I6" s="22"/>
    </row>
    <row r="7" spans="1:10" ht="18.75" x14ac:dyDescent="0.25">
      <c r="A7" s="35"/>
      <c r="B7" s="22"/>
      <c r="C7" s="22"/>
      <c r="D7" s="22"/>
      <c r="E7" s="323">
        <f>MO.MRFPColumnNumber</f>
        <v>49</v>
      </c>
      <c r="F7" s="33" t="str">
        <f>MO.MRFP</f>
        <v>Q3-2021</v>
      </c>
      <c r="G7" s="392"/>
      <c r="H7" s="144" t="str">
        <f>AA.CSIN</f>
        <v>NVC8NN0168</v>
      </c>
      <c r="I7" s="32"/>
      <c r="J7" s="38"/>
    </row>
    <row r="8" spans="1:10" x14ac:dyDescent="0.25">
      <c r="A8" s="35"/>
      <c r="B8" s="22"/>
      <c r="C8" s="22"/>
      <c r="D8" s="22"/>
      <c r="E8" s="22"/>
      <c r="F8" s="22"/>
      <c r="G8" s="22"/>
      <c r="H8" s="209" t="str">
        <f>+AA.ModelVersion</f>
        <v>Q3-2021.28</v>
      </c>
      <c r="I8" s="22"/>
    </row>
    <row r="9" spans="1:10" x14ac:dyDescent="0.25">
      <c r="A9" s="35"/>
      <c r="B9" s="22"/>
      <c r="C9" s="22"/>
      <c r="D9" s="22"/>
      <c r="E9" s="22"/>
      <c r="F9" s="22"/>
      <c r="G9" s="22"/>
      <c r="H9" s="22"/>
      <c r="I9" s="22"/>
    </row>
    <row r="10" spans="1:10" x14ac:dyDescent="0.25">
      <c r="A10" s="35"/>
      <c r="B10" s="22"/>
      <c r="C10" s="362" t="s">
        <v>380</v>
      </c>
      <c r="D10" s="362" t="s">
        <v>381</v>
      </c>
      <c r="E10" s="362" t="s">
        <v>382</v>
      </c>
      <c r="F10" s="362" t="s">
        <v>460</v>
      </c>
      <c r="G10" s="362" t="s">
        <v>383</v>
      </c>
      <c r="H10" s="417" t="s">
        <v>384</v>
      </c>
      <c r="I10" s="22"/>
    </row>
    <row r="11" spans="1:10" s="25" customFormat="1" x14ac:dyDescent="0.25">
      <c r="A11" s="35"/>
      <c r="B11" s="23"/>
      <c r="C11" s="171">
        <v>44490</v>
      </c>
      <c r="D11" s="172" t="s">
        <v>572</v>
      </c>
      <c r="E11" s="173" t="s">
        <v>461</v>
      </c>
      <c r="F11" s="173" t="s">
        <v>577</v>
      </c>
      <c r="G11" s="393"/>
      <c r="H11" s="640" t="s">
        <v>386</v>
      </c>
      <c r="I11" s="23"/>
    </row>
    <row r="12" spans="1:10" s="25" customFormat="1" x14ac:dyDescent="0.25">
      <c r="A12" s="35"/>
      <c r="B12" s="23"/>
      <c r="C12" s="171">
        <v>44488</v>
      </c>
      <c r="D12" s="172" t="s">
        <v>575</v>
      </c>
      <c r="E12" s="173" t="s">
        <v>536</v>
      </c>
      <c r="F12" s="173" t="s">
        <v>577</v>
      </c>
      <c r="G12" s="393"/>
      <c r="H12" s="629" t="s">
        <v>386</v>
      </c>
      <c r="I12" s="23"/>
    </row>
    <row r="13" spans="1:10" s="25" customFormat="1" x14ac:dyDescent="0.25">
      <c r="A13" s="35"/>
      <c r="B13" s="23"/>
      <c r="C13" s="171">
        <v>44399</v>
      </c>
      <c r="D13" s="172" t="s">
        <v>579</v>
      </c>
      <c r="E13" s="173" t="s">
        <v>461</v>
      </c>
      <c r="F13" s="173" t="s">
        <v>571</v>
      </c>
      <c r="G13" s="393"/>
      <c r="H13" s="457" t="s">
        <v>386</v>
      </c>
      <c r="I13" s="23"/>
    </row>
    <row r="14" spans="1:10" s="25" customFormat="1" x14ac:dyDescent="0.25">
      <c r="A14" s="35"/>
      <c r="B14" s="23"/>
      <c r="C14" s="171">
        <v>44397</v>
      </c>
      <c r="D14" s="172" t="s">
        <v>575</v>
      </c>
      <c r="E14" s="173" t="s">
        <v>536</v>
      </c>
      <c r="F14" s="173" t="s">
        <v>571</v>
      </c>
      <c r="G14" s="393"/>
      <c r="H14" s="457" t="s">
        <v>386</v>
      </c>
      <c r="I14" s="23"/>
    </row>
    <row r="15" spans="1:10" s="25" customFormat="1" x14ac:dyDescent="0.25">
      <c r="A15" s="35"/>
      <c r="B15" s="23"/>
      <c r="C15" s="171">
        <v>44308</v>
      </c>
      <c r="D15" s="172" t="s">
        <v>572</v>
      </c>
      <c r="E15" s="173" t="s">
        <v>461</v>
      </c>
      <c r="F15" s="173" t="s">
        <v>568</v>
      </c>
      <c r="G15" s="393"/>
      <c r="H15" s="457" t="s">
        <v>386</v>
      </c>
      <c r="I15" s="23"/>
    </row>
    <row r="16" spans="1:10" s="25" customFormat="1" x14ac:dyDescent="0.25">
      <c r="A16" s="35"/>
      <c r="B16" s="23"/>
      <c r="C16" s="171">
        <v>44306</v>
      </c>
      <c r="D16" s="172" t="s">
        <v>570</v>
      </c>
      <c r="E16" s="173" t="s">
        <v>536</v>
      </c>
      <c r="F16" s="173" t="s">
        <v>568</v>
      </c>
      <c r="G16" s="393"/>
      <c r="H16" s="629" t="s">
        <v>386</v>
      </c>
      <c r="I16" s="23"/>
    </row>
    <row r="17" spans="1:9" s="25" customFormat="1" x14ac:dyDescent="0.25">
      <c r="A17" s="35"/>
      <c r="B17" s="23"/>
      <c r="C17" s="171">
        <v>44224</v>
      </c>
      <c r="D17" s="172" t="s">
        <v>410</v>
      </c>
      <c r="E17" s="173" t="s">
        <v>462</v>
      </c>
      <c r="F17" s="173" t="s">
        <v>422</v>
      </c>
      <c r="G17" s="393"/>
      <c r="H17" s="457" t="s">
        <v>386</v>
      </c>
      <c r="I17" s="23"/>
    </row>
    <row r="18" spans="1:9" s="25" customFormat="1" x14ac:dyDescent="0.25">
      <c r="A18" s="35"/>
      <c r="B18" s="23"/>
      <c r="C18" s="171">
        <v>44215</v>
      </c>
      <c r="D18" s="172" t="s">
        <v>410</v>
      </c>
      <c r="E18" s="173" t="s">
        <v>536</v>
      </c>
      <c r="F18" s="173" t="s">
        <v>422</v>
      </c>
      <c r="G18" s="393"/>
      <c r="H18" s="457" t="s">
        <v>386</v>
      </c>
      <c r="I18" s="23"/>
    </row>
    <row r="19" spans="1:9" s="25" customFormat="1" x14ac:dyDescent="0.25">
      <c r="A19" s="35"/>
      <c r="B19" s="23"/>
      <c r="C19" s="171">
        <v>44126</v>
      </c>
      <c r="D19" s="172" t="s">
        <v>387</v>
      </c>
      <c r="E19" s="173" t="s">
        <v>461</v>
      </c>
      <c r="F19" s="173" t="s">
        <v>537</v>
      </c>
      <c r="G19" s="393"/>
      <c r="H19" s="457" t="s">
        <v>386</v>
      </c>
      <c r="I19" s="23"/>
    </row>
    <row r="20" spans="1:9" s="25" customFormat="1" x14ac:dyDescent="0.25">
      <c r="A20" s="35"/>
      <c r="B20" s="23"/>
      <c r="C20" s="171">
        <v>44124</v>
      </c>
      <c r="D20" s="172" t="s">
        <v>511</v>
      </c>
      <c r="E20" s="173" t="s">
        <v>536</v>
      </c>
      <c r="F20" s="173" t="s">
        <v>537</v>
      </c>
      <c r="G20" s="393"/>
      <c r="H20" s="457" t="s">
        <v>386</v>
      </c>
      <c r="I20" s="23"/>
    </row>
    <row r="21" spans="1:9" s="25" customFormat="1" x14ac:dyDescent="0.25">
      <c r="A21" s="35"/>
      <c r="B21" s="23"/>
      <c r="C21" s="171">
        <v>44032</v>
      </c>
      <c r="D21" s="172" t="s">
        <v>538</v>
      </c>
      <c r="E21" s="173" t="s">
        <v>461</v>
      </c>
      <c r="F21" s="173" t="s">
        <v>513</v>
      </c>
      <c r="G21" s="393"/>
      <c r="H21" s="456" t="s">
        <v>386</v>
      </c>
      <c r="I21" s="23"/>
    </row>
    <row r="22" spans="1:9" s="25" customFormat="1" x14ac:dyDescent="0.25">
      <c r="A22" s="35"/>
      <c r="B22" s="23"/>
      <c r="C22" s="171">
        <v>44028</v>
      </c>
      <c r="D22" s="172" t="s">
        <v>410</v>
      </c>
      <c r="E22" s="173" t="s">
        <v>536</v>
      </c>
      <c r="F22" s="173" t="s">
        <v>513</v>
      </c>
      <c r="G22" s="393"/>
      <c r="H22" s="431" t="s">
        <v>386</v>
      </c>
      <c r="I22" s="23"/>
    </row>
    <row r="23" spans="1:9" s="25" customFormat="1" x14ac:dyDescent="0.25">
      <c r="A23" s="35"/>
      <c r="B23" s="23"/>
      <c r="C23" s="171">
        <v>43942</v>
      </c>
      <c r="D23" s="172" t="s">
        <v>511</v>
      </c>
      <c r="E23" s="173" t="s">
        <v>461</v>
      </c>
      <c r="F23" s="173" t="s">
        <v>464</v>
      </c>
      <c r="G23" s="393"/>
      <c r="H23" s="431" t="s">
        <v>386</v>
      </c>
      <c r="I23" s="23"/>
    </row>
    <row r="24" spans="1:9" s="25" customFormat="1" x14ac:dyDescent="0.25">
      <c r="A24" s="35"/>
      <c r="B24" s="23"/>
      <c r="C24" s="171">
        <v>43851</v>
      </c>
      <c r="D24" s="172" t="s">
        <v>410</v>
      </c>
      <c r="E24" s="272" t="s">
        <v>462</v>
      </c>
      <c r="F24" s="173" t="s">
        <v>421</v>
      </c>
      <c r="G24" s="393"/>
      <c r="H24" s="363" t="s">
        <v>386</v>
      </c>
      <c r="I24" s="23"/>
    </row>
    <row r="25" spans="1:9" s="25" customFormat="1" x14ac:dyDescent="0.25">
      <c r="A25" s="35"/>
      <c r="B25" s="23"/>
      <c r="C25" s="171">
        <v>43754</v>
      </c>
      <c r="D25" s="172" t="s">
        <v>410</v>
      </c>
      <c r="E25" s="173" t="s">
        <v>461</v>
      </c>
      <c r="F25" s="173" t="s">
        <v>409</v>
      </c>
      <c r="G25" s="393"/>
      <c r="H25" s="363" t="s">
        <v>386</v>
      </c>
      <c r="I25" s="23"/>
    </row>
    <row r="26" spans="1:9" s="25" customFormat="1" x14ac:dyDescent="0.25">
      <c r="A26" s="35"/>
      <c r="B26" s="23"/>
      <c r="C26" s="275">
        <v>43663</v>
      </c>
      <c r="D26" s="274" t="s">
        <v>410</v>
      </c>
      <c r="E26" s="322" t="s">
        <v>461</v>
      </c>
      <c r="F26" s="322" t="s">
        <v>294</v>
      </c>
      <c r="G26" s="394"/>
      <c r="H26" s="363" t="s">
        <v>386</v>
      </c>
      <c r="I26" s="23"/>
    </row>
    <row r="27" spans="1:9" s="25" customFormat="1" x14ac:dyDescent="0.25">
      <c r="A27" s="35"/>
      <c r="B27" s="23"/>
      <c r="C27" s="285">
        <v>43571</v>
      </c>
      <c r="D27" s="286" t="s">
        <v>385</v>
      </c>
      <c r="E27" s="287" t="s">
        <v>461</v>
      </c>
      <c r="F27" s="287" t="s">
        <v>315</v>
      </c>
      <c r="G27" s="395"/>
      <c r="H27" s="432" t="s">
        <v>386</v>
      </c>
      <c r="I27" s="23"/>
    </row>
    <row r="28" spans="1:9" x14ac:dyDescent="0.25">
      <c r="A28" s="35"/>
      <c r="B28" s="22"/>
      <c r="C28" s="285">
        <v>43482</v>
      </c>
      <c r="D28" s="286" t="s">
        <v>387</v>
      </c>
      <c r="E28" s="287" t="s">
        <v>462</v>
      </c>
      <c r="F28" s="287" t="s">
        <v>323</v>
      </c>
      <c r="G28" s="395"/>
      <c r="H28" s="174" t="s">
        <v>386</v>
      </c>
      <c r="I28" s="22"/>
    </row>
    <row r="29" spans="1:9" x14ac:dyDescent="0.25">
      <c r="A29" s="35"/>
      <c r="B29" s="22"/>
      <c r="C29" s="285">
        <v>43389</v>
      </c>
      <c r="D29" s="286" t="s">
        <v>385</v>
      </c>
      <c r="E29" s="287" t="s">
        <v>461</v>
      </c>
      <c r="F29" s="287" t="s">
        <v>319</v>
      </c>
      <c r="G29" s="395"/>
      <c r="H29" s="174" t="s">
        <v>386</v>
      </c>
      <c r="I29" s="22"/>
    </row>
    <row r="30" spans="1:9" x14ac:dyDescent="0.25">
      <c r="A30" s="35"/>
      <c r="B30" s="22"/>
      <c r="C30" s="285">
        <v>43339</v>
      </c>
      <c r="D30" s="286" t="s">
        <v>388</v>
      </c>
      <c r="E30" s="287" t="s">
        <v>461</v>
      </c>
      <c r="F30" s="287" t="s">
        <v>325</v>
      </c>
      <c r="G30" s="395"/>
      <c r="H30" s="288" t="s">
        <v>386</v>
      </c>
      <c r="I30" s="22"/>
    </row>
    <row r="31" spans="1:9" x14ac:dyDescent="0.25">
      <c r="A31" s="35"/>
      <c r="B31" s="22"/>
      <c r="C31" s="270">
        <v>43206</v>
      </c>
      <c r="D31" s="271" t="s">
        <v>389</v>
      </c>
      <c r="E31" s="272" t="s">
        <v>461</v>
      </c>
      <c r="F31" s="272" t="s">
        <v>329</v>
      </c>
      <c r="G31" s="396"/>
      <c r="H31" s="273" t="s">
        <v>386</v>
      </c>
      <c r="I31" s="22"/>
    </row>
    <row r="32" spans="1:9" x14ac:dyDescent="0.25">
      <c r="A32" s="35"/>
      <c r="B32" s="22"/>
      <c r="C32" s="171">
        <v>43122</v>
      </c>
      <c r="D32" s="172" t="s">
        <v>390</v>
      </c>
      <c r="E32" s="173" t="s">
        <v>462</v>
      </c>
      <c r="F32" s="173" t="s">
        <v>391</v>
      </c>
      <c r="G32" s="393"/>
      <c r="H32" s="174" t="s">
        <v>386</v>
      </c>
      <c r="I32" s="22"/>
    </row>
    <row r="33" spans="1:9" x14ac:dyDescent="0.25">
      <c r="A33" s="35"/>
      <c r="B33" s="22"/>
      <c r="C33" s="171">
        <v>43026</v>
      </c>
      <c r="D33" s="172" t="s">
        <v>392</v>
      </c>
      <c r="E33" s="173" t="s">
        <v>461</v>
      </c>
      <c r="F33" s="173" t="s">
        <v>393</v>
      </c>
      <c r="G33" s="393"/>
      <c r="H33" s="174" t="s">
        <v>386</v>
      </c>
      <c r="I33" s="22"/>
    </row>
    <row r="34" spans="1:9" x14ac:dyDescent="0.25">
      <c r="A34" s="35"/>
      <c r="B34" s="22"/>
      <c r="C34" s="171">
        <v>42936</v>
      </c>
      <c r="D34" s="172" t="s">
        <v>394</v>
      </c>
      <c r="E34" s="173" t="s">
        <v>461</v>
      </c>
      <c r="F34" s="173" t="s">
        <v>395</v>
      </c>
      <c r="G34" s="393"/>
      <c r="H34" s="174" t="s">
        <v>386</v>
      </c>
      <c r="I34" s="22"/>
    </row>
    <row r="35" spans="1:9" x14ac:dyDescent="0.25">
      <c r="A35" s="35"/>
      <c r="B35" s="22"/>
      <c r="C35" s="37">
        <v>42845</v>
      </c>
      <c r="D35" s="36" t="s">
        <v>396</v>
      </c>
      <c r="E35" s="145" t="s">
        <v>461</v>
      </c>
      <c r="F35" s="145" t="s">
        <v>397</v>
      </c>
      <c r="G35" s="393"/>
      <c r="H35" s="137" t="s">
        <v>386</v>
      </c>
      <c r="I35" s="22"/>
    </row>
    <row r="36" spans="1:9" x14ac:dyDescent="0.25">
      <c r="A36" s="35"/>
      <c r="B36" s="22"/>
      <c r="C36" s="37">
        <v>42762</v>
      </c>
      <c r="D36" s="36" t="s">
        <v>398</v>
      </c>
      <c r="E36" s="109" t="s">
        <v>462</v>
      </c>
      <c r="F36" s="109" t="s">
        <v>399</v>
      </c>
      <c r="G36" s="393"/>
      <c r="H36" s="137" t="s">
        <v>386</v>
      </c>
      <c r="I36" s="22"/>
    </row>
    <row r="37" spans="1:9" x14ac:dyDescent="0.25">
      <c r="A37" s="35"/>
      <c r="B37" s="22"/>
      <c r="C37" s="37">
        <v>42677</v>
      </c>
      <c r="D37" s="36" t="s">
        <v>400</v>
      </c>
      <c r="E37" s="109" t="s">
        <v>461</v>
      </c>
      <c r="F37" s="109" t="s">
        <v>401</v>
      </c>
      <c r="G37" s="393"/>
      <c r="H37" s="137" t="s">
        <v>386</v>
      </c>
      <c r="I37" s="22"/>
    </row>
    <row r="38" spans="1:9" x14ac:dyDescent="0.25">
      <c r="A38" s="35"/>
      <c r="B38" s="22"/>
      <c r="C38" s="37">
        <v>42570</v>
      </c>
      <c r="D38" s="36" t="s">
        <v>402</v>
      </c>
      <c r="E38" s="109" t="s">
        <v>461</v>
      </c>
      <c r="F38" s="109" t="s">
        <v>403</v>
      </c>
      <c r="G38" s="393"/>
      <c r="H38" s="137"/>
      <c r="I38" s="22"/>
    </row>
    <row r="39" spans="1:9" x14ac:dyDescent="0.25">
      <c r="A39" s="35"/>
      <c r="B39" s="22"/>
      <c r="C39" s="37">
        <v>42504</v>
      </c>
      <c r="D39" s="36" t="s">
        <v>404</v>
      </c>
      <c r="E39" s="109" t="s">
        <v>405</v>
      </c>
      <c r="F39" s="109" t="s">
        <v>463</v>
      </c>
      <c r="G39" s="393"/>
      <c r="H39" s="137"/>
      <c r="I39" s="22"/>
    </row>
    <row r="40" spans="1:9" x14ac:dyDescent="0.25">
      <c r="A40" s="35"/>
      <c r="B40" s="23"/>
      <c r="C40" s="23"/>
      <c r="D40" s="23"/>
      <c r="E40" s="23"/>
      <c r="F40" s="23"/>
      <c r="G40" s="23"/>
      <c r="H40" s="22"/>
      <c r="I40" s="22"/>
    </row>
    <row r="41" spans="1:9" x14ac:dyDescent="0.25">
      <c r="A41" s="35"/>
      <c r="B41" s="23"/>
      <c r="C41" s="23"/>
      <c r="D41" s="23"/>
      <c r="E41" s="23"/>
      <c r="F41" s="23"/>
      <c r="G41" s="23"/>
      <c r="H41" s="22"/>
      <c r="I41" s="22"/>
    </row>
    <row r="42" spans="1:9" x14ac:dyDescent="0.25">
      <c r="A42" s="35"/>
      <c r="B42" s="23"/>
      <c r="C42" s="23"/>
      <c r="D42" s="23"/>
      <c r="E42" s="23"/>
      <c r="F42" s="23"/>
      <c r="G42" s="23"/>
      <c r="H42" s="22"/>
      <c r="I42" s="22"/>
    </row>
    <row r="43" spans="1:9" x14ac:dyDescent="0.25">
      <c r="A43" s="35"/>
      <c r="B43" s="21"/>
      <c r="C43" s="21"/>
      <c r="D43" s="21"/>
      <c r="E43" s="21"/>
      <c r="F43" s="21"/>
      <c r="G43" s="21"/>
      <c r="H43" s="35"/>
    </row>
    <row r="44" spans="1:9" x14ac:dyDescent="0.25">
      <c r="A44" s="35"/>
      <c r="B44" s="21"/>
      <c r="C44" s="21"/>
      <c r="D44" s="21"/>
      <c r="E44" s="21"/>
      <c r="F44" s="21"/>
      <c r="G44" s="21"/>
      <c r="H44" s="35"/>
    </row>
    <row r="45" spans="1:9" x14ac:dyDescent="0.25">
      <c r="A45" s="35"/>
      <c r="B45" s="21"/>
      <c r="C45" s="21"/>
      <c r="D45" s="21"/>
      <c r="E45" s="21"/>
      <c r="F45" s="21"/>
      <c r="G45" s="21"/>
      <c r="H45" s="35"/>
    </row>
    <row r="46" spans="1:9" x14ac:dyDescent="0.25">
      <c r="A46" s="35"/>
      <c r="B46" s="21"/>
      <c r="C46" s="21"/>
      <c r="D46" s="21"/>
      <c r="E46" s="21"/>
      <c r="F46" s="21"/>
      <c r="G46" s="21"/>
      <c r="H46" s="35"/>
    </row>
    <row r="47" spans="1:9" x14ac:dyDescent="0.25">
      <c r="A47" s="35"/>
      <c r="B47" s="21"/>
      <c r="C47" s="21"/>
      <c r="D47" s="21"/>
      <c r="E47" s="21"/>
      <c r="F47" s="21"/>
      <c r="G47" s="21"/>
      <c r="H47" s="35"/>
    </row>
    <row r="48" spans="1:9" x14ac:dyDescent="0.25">
      <c r="A48" s="35"/>
      <c r="B48" s="21"/>
      <c r="C48" s="21"/>
      <c r="D48" s="21"/>
      <c r="E48" s="21"/>
      <c r="F48" s="21"/>
      <c r="G48" s="21"/>
      <c r="H48" s="35"/>
    </row>
    <row r="49" spans="1:8" x14ac:dyDescent="0.25">
      <c r="A49" s="35"/>
      <c r="B49" s="21"/>
      <c r="C49" s="21"/>
      <c r="D49" s="21"/>
      <c r="E49" s="21"/>
      <c r="F49" s="21"/>
      <c r="G49" s="21"/>
      <c r="H49" s="35"/>
    </row>
    <row r="50" spans="1:8" x14ac:dyDescent="0.25">
      <c r="A50" s="35"/>
      <c r="B50" s="21"/>
      <c r="C50" s="21"/>
      <c r="D50" s="21"/>
      <c r="E50" s="21"/>
      <c r="F50" s="21"/>
      <c r="G50" s="21"/>
      <c r="H50" s="35"/>
    </row>
    <row r="51" spans="1:8" x14ac:dyDescent="0.25">
      <c r="A51" s="35"/>
      <c r="B51" s="21"/>
      <c r="C51" s="21"/>
      <c r="D51" s="21"/>
      <c r="E51" s="21"/>
      <c r="F51" s="21"/>
      <c r="G51" s="21"/>
      <c r="H51" s="35"/>
    </row>
    <row r="52" spans="1:8" x14ac:dyDescent="0.25">
      <c r="A52" s="35"/>
      <c r="B52" s="21"/>
      <c r="C52" s="21"/>
      <c r="D52" s="21"/>
      <c r="E52" s="21"/>
      <c r="F52" s="21"/>
      <c r="G52" s="21"/>
      <c r="H52" s="35"/>
    </row>
    <row r="53" spans="1:8" x14ac:dyDescent="0.25">
      <c r="A53" s="35"/>
      <c r="B53" s="21"/>
      <c r="C53" s="21"/>
      <c r="D53" s="21"/>
      <c r="E53" s="21"/>
      <c r="F53" s="21"/>
      <c r="G53" s="21"/>
      <c r="H53" s="35"/>
    </row>
    <row r="54" spans="1:8" x14ac:dyDescent="0.25">
      <c r="A54" s="35"/>
      <c r="B54" s="21"/>
      <c r="C54" s="21"/>
      <c r="D54" s="21"/>
      <c r="E54" s="21"/>
      <c r="F54" s="21"/>
      <c r="G54" s="21"/>
      <c r="H54" s="35"/>
    </row>
    <row r="55" spans="1:8" x14ac:dyDescent="0.25">
      <c r="A55" s="35"/>
      <c r="B55" s="21"/>
      <c r="C55" s="21"/>
      <c r="D55" s="21"/>
      <c r="E55" s="21"/>
      <c r="F55" s="21"/>
      <c r="G55" s="21"/>
      <c r="H55" s="35"/>
    </row>
    <row r="56" spans="1:8" x14ac:dyDescent="0.25">
      <c r="A56" s="35"/>
      <c r="B56" s="21"/>
      <c r="C56" s="21"/>
      <c r="D56" s="21"/>
      <c r="E56" s="21"/>
      <c r="F56" s="21"/>
      <c r="G56" s="21"/>
      <c r="H56" s="35"/>
    </row>
    <row r="57" spans="1:8" x14ac:dyDescent="0.25">
      <c r="A57" s="35"/>
      <c r="B57" s="21"/>
      <c r="C57" s="21"/>
      <c r="D57" s="21"/>
      <c r="E57" s="21"/>
      <c r="F57" s="21"/>
      <c r="G57" s="21"/>
      <c r="H57" s="35"/>
    </row>
    <row r="58" spans="1:8" x14ac:dyDescent="0.25">
      <c r="A58" s="35"/>
      <c r="B58" s="21"/>
      <c r="C58" s="21"/>
      <c r="D58" s="21"/>
      <c r="E58" s="21"/>
      <c r="F58" s="21"/>
      <c r="G58" s="21"/>
      <c r="H58" s="35"/>
    </row>
    <row r="59" spans="1:8" x14ac:dyDescent="0.25">
      <c r="A59" s="35"/>
      <c r="B59" s="21"/>
      <c r="C59" s="21"/>
      <c r="D59" s="21"/>
      <c r="E59" s="21"/>
      <c r="F59" s="21"/>
      <c r="G59" s="21"/>
      <c r="H59" s="35"/>
    </row>
    <row r="60" spans="1:8" x14ac:dyDescent="0.25">
      <c r="A60" s="35"/>
      <c r="B60" s="21"/>
      <c r="C60" s="21"/>
      <c r="D60" s="21"/>
      <c r="E60" s="21"/>
      <c r="F60" s="21"/>
      <c r="G60" s="21"/>
      <c r="H60" s="35"/>
    </row>
    <row r="61" spans="1:8" x14ac:dyDescent="0.25">
      <c r="A61" s="35"/>
      <c r="B61" s="21"/>
      <c r="C61" s="21"/>
      <c r="D61" s="21"/>
      <c r="E61" s="21"/>
      <c r="F61" s="21"/>
      <c r="G61" s="21"/>
      <c r="H61" s="35"/>
    </row>
    <row r="62" spans="1:8" x14ac:dyDescent="0.25">
      <c r="A62" s="35"/>
      <c r="H62" s="35"/>
    </row>
  </sheetData>
  <hyperlinks>
    <hyperlink ref="H27" r:id="rId1" xr:uid="{00000000-0004-0000-0500-000000000000}"/>
    <hyperlink ref="H28" r:id="rId2" tooltip="Website Link" xr:uid="{00000000-0004-0000-0500-000001000000}"/>
    <hyperlink ref="H29" r:id="rId3" xr:uid="{00000000-0004-0000-0500-000002000000}"/>
    <hyperlink ref="H30" r:id="rId4" xr:uid="{00000000-0004-0000-0500-000003000000}"/>
    <hyperlink ref="H31" r:id="rId5" xr:uid="{00000000-0004-0000-0500-000004000000}"/>
    <hyperlink ref="H32" r:id="rId6" tooltip="Website Link" xr:uid="{00000000-0004-0000-0500-000005000000}"/>
    <hyperlink ref="H33" r:id="rId7" tooltip="Website Link" xr:uid="{00000000-0004-0000-0500-000006000000}"/>
    <hyperlink ref="H34" r:id="rId8" tooltip="Website Link" xr:uid="{00000000-0004-0000-0500-000007000000}"/>
    <hyperlink ref="H35" r:id="rId9" xr:uid="{00000000-0004-0000-0500-000008000000}"/>
    <hyperlink ref="H36" r:id="rId10" tooltip="Website Link" xr:uid="{00000000-0004-0000-0500-000009000000}"/>
    <hyperlink ref="H37" r:id="rId11" tooltip="Website Link" xr:uid="{00000000-0004-0000-0500-00000A000000}"/>
    <hyperlink ref="H26" r:id="rId12" tooltip="Website Link" xr:uid="{00000000-0004-0000-0500-00000B000000}"/>
    <hyperlink ref="H25" r:id="rId13" tooltip="Website Link" xr:uid="{00000000-0004-0000-0500-00000C000000}"/>
    <hyperlink ref="H24" r:id="rId14" tooltip="Website Link" xr:uid="{00000000-0004-0000-0500-00000D000000}"/>
    <hyperlink ref="H23" r:id="rId15" tooltip="Website Link" xr:uid="{00000000-0004-0000-0500-00000E000000}"/>
    <hyperlink ref="H22" r:id="rId16" tooltip="Website Link" xr:uid="{00000000-0004-0000-0500-00000F000000}"/>
    <hyperlink ref="H21" r:id="rId17" tooltip="Website Link" xr:uid="{00000000-0004-0000-0500-000010000000}"/>
    <hyperlink ref="H20" r:id="rId18" tooltip="Website Link" xr:uid="{00000000-0004-0000-0500-000011000000}"/>
    <hyperlink ref="H19" r:id="rId19" tooltip="Website Link" xr:uid="{00000000-0004-0000-0500-000012000000}"/>
    <hyperlink ref="H18" r:id="rId20" tooltip="Website Link" xr:uid="{00000000-0004-0000-0500-000013000000}"/>
    <hyperlink ref="H17" r:id="rId21" tooltip="Website Link" xr:uid="{00000000-0004-0000-0500-000014000000}"/>
    <hyperlink ref="H16" r:id="rId22" tooltip="Website Link" xr:uid="{00000000-0004-0000-0500-000015000000}"/>
    <hyperlink ref="H15" r:id="rId23" tooltip="Website Link" xr:uid="{00000000-0004-0000-0500-000016000000}"/>
    <hyperlink ref="H14" r:id="rId24" tooltip="Website Link" xr:uid="{00000000-0004-0000-0500-000017000000}"/>
    <hyperlink ref="H13" r:id="rId25" tooltip="Website Link" xr:uid="{00000000-0004-0000-0500-000018000000}"/>
    <hyperlink ref="H12" r:id="rId26" tooltip="Website Link" xr:uid="{00000000-0004-0000-0500-000019000000}"/>
    <hyperlink ref="H11" r:id="rId27" tooltip="Website Link" xr:uid="{00000000-0004-0000-0500-00001A000000}"/>
  </hyperlinks>
  <pageMargins left="0.7" right="0.7" top="0.75" bottom="0.75" header="0.3" footer="0.3"/>
  <pageSetup orientation="portrait"/>
  <drawing r:id="rId28"/>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6</vt:i4>
      </vt:variant>
      <vt:variant>
        <vt:lpstr>Named Ranges</vt:lpstr>
      </vt:variant>
      <vt:variant>
        <vt:i4>1319</vt:i4>
      </vt:variant>
    </vt:vector>
  </HeadingPairs>
  <TitlesOfParts>
    <vt:vector size="1325" baseType="lpstr">
      <vt:lpstr>Front Page</vt:lpstr>
      <vt:lpstr>Model</vt:lpstr>
      <vt:lpstr>Supplemental Data</vt:lpstr>
      <vt:lpstr>Guidance</vt:lpstr>
      <vt:lpstr>Summary Page</vt:lpstr>
      <vt:lpstr>Update Log</vt:lpstr>
      <vt:lpstr>FP.DataSource</vt:lpstr>
      <vt:lpstr>FP.DataSourceName</vt:lpstr>
      <vt:lpstr>FP.Disclaimer</vt:lpstr>
      <vt:lpstr>FP.LastPrice</vt:lpstr>
      <vt:lpstr>FP.LastPriceDate</vt:lpstr>
      <vt:lpstr>FP.RealTimeToggle</vt:lpstr>
      <vt:lpstr>FP.UpdateDate</vt:lpstr>
      <vt:lpstr>FP.UpdateEvent</vt:lpstr>
      <vt:lpstr>FP_Comment</vt:lpstr>
      <vt:lpstr>FP_StockPriceOverride</vt:lpstr>
      <vt:lpstr>GD.CompanyName</vt:lpstr>
      <vt:lpstr>GD.MRQ</vt:lpstr>
      <vt:lpstr>GD_Difference_Mid_Absolute</vt:lpstr>
      <vt:lpstr>GD_Difference_Mid_Relative</vt:lpstr>
      <vt:lpstr>GD_Guidance_High</vt:lpstr>
      <vt:lpstr>GD_Guidance_Low</vt:lpstr>
      <vt:lpstr>GD_Guidance_Mid</vt:lpstr>
      <vt:lpstr>GD_Header_Column</vt:lpstr>
      <vt:lpstr>GD_Header_Section</vt:lpstr>
      <vt:lpstr>GD_Index</vt:lpstr>
      <vt:lpstr>GD_Item</vt:lpstr>
      <vt:lpstr>GD_Item_FiscalPeriod</vt:lpstr>
      <vt:lpstr>GD_Item_Name</vt:lpstr>
      <vt:lpstr>GD_Model_Output</vt:lpstr>
      <vt:lpstr>GD_Model_Type</vt:lpstr>
      <vt:lpstr>GD_Type</vt:lpstr>
      <vt:lpstr>GD_Update_Date</vt:lpstr>
      <vt:lpstr>GD_Update_Link</vt:lpstr>
      <vt:lpstr>HP.MRFX</vt:lpstr>
      <vt:lpstr>HP.ReportCurrency</vt:lpstr>
      <vt:lpstr>HP.Ticker</vt:lpstr>
      <vt:lpstr>HP.TradeCurrency</vt:lpstr>
      <vt:lpstr>HP.TradeCurrency.HardCoded</vt:lpstr>
      <vt:lpstr>MO.CFY</vt:lpstr>
      <vt:lpstr>MO.CompanyName</vt:lpstr>
      <vt:lpstr>MO.DataSourceIndex</vt:lpstr>
      <vt:lpstr>MO.DataSourceName</vt:lpstr>
      <vt:lpstr>MO.FirstForecastedFiscalYear</vt:lpstr>
      <vt:lpstr>MO.LastPrice</vt:lpstr>
      <vt:lpstr>MO.LastPriceDate</vt:lpstr>
      <vt:lpstr>MO.LastPriceFormula</vt:lpstr>
      <vt:lpstr>MO.LastPriceHardcoded</vt:lpstr>
      <vt:lpstr>MO.MRFP</vt:lpstr>
      <vt:lpstr>MO.MRFPColumnNumber</vt:lpstr>
      <vt:lpstr>MO.MRFX.Hardcoded</vt:lpstr>
      <vt:lpstr>MO.RealTime</vt:lpstr>
      <vt:lpstr>MO.RealTimeStockPriceToggle</vt:lpstr>
      <vt:lpstr>MO.ReportCurrency</vt:lpstr>
      <vt:lpstr>MO.ReportFX</vt:lpstr>
      <vt:lpstr>MO.Ticker</vt:lpstr>
      <vt:lpstr>MO.Ticker.Bloomberg</vt:lpstr>
      <vt:lpstr>MO.Ticker.CapIQ</vt:lpstr>
      <vt:lpstr>MO.Ticker.FactSet</vt:lpstr>
      <vt:lpstr>MO.Ticker.Thomson</vt:lpstr>
      <vt:lpstr>MO.TradingCurrency</vt:lpstr>
      <vt:lpstr>MO.ValuationToggle</vt:lpstr>
      <vt:lpstr>MO_AN_EBITDA_Adj</vt:lpstr>
      <vt:lpstr>MO_AN_NI_NONGAAP_Diluted</vt:lpstr>
      <vt:lpstr>MO_BS_AP</vt:lpstr>
      <vt:lpstr>MO_BS_CA</vt:lpstr>
      <vt:lpstr>MO_BS_Cash</vt:lpstr>
      <vt:lpstr>MO_BS_CL</vt:lpstr>
      <vt:lpstr>MO_BS_DefRev</vt:lpstr>
      <vt:lpstr>MO_BS_Intangibles</vt:lpstr>
      <vt:lpstr>MO_BS_INV</vt:lpstr>
      <vt:lpstr>MO_BS_NCA</vt:lpstr>
      <vt:lpstr>MO_BS_NCI</vt:lpstr>
      <vt:lpstr>MO_BS_NCL</vt:lpstr>
      <vt:lpstr>MO_BS_OCI</vt:lpstr>
      <vt:lpstr>MO_BS_OL_Current</vt:lpstr>
      <vt:lpstr>MO_BS_OL_NonCurrent</vt:lpstr>
      <vt:lpstr>MO_BS_PPE</vt:lpstr>
      <vt:lpstr>MO_BS_RestrictedCash_Current</vt:lpstr>
      <vt:lpstr>MO_BS_RestrictedCash_NonCurrent</vt:lpstr>
      <vt:lpstr>MO_BS_RetainedEarnings</vt:lpstr>
      <vt:lpstr>MO_BS_SE</vt:lpstr>
      <vt:lpstr>MO_BS_STInvestments</vt:lpstr>
      <vt:lpstr>MO_BS_TA</vt:lpstr>
      <vt:lpstr>MO_BS_TaxAssets_Deferred_Current</vt:lpstr>
      <vt:lpstr>MO_BS_TaxAssets_Deferred_NonCurrent</vt:lpstr>
      <vt:lpstr>MO_BS_TL</vt:lpstr>
      <vt:lpstr>MO_BS_TLSE</vt:lpstr>
      <vt:lpstr>MO_BSS_Cash</vt:lpstr>
      <vt:lpstr>MO_BSS_Debt</vt:lpstr>
      <vt:lpstr>MO_BSS_Debt_LT</vt:lpstr>
      <vt:lpstr>MO_BSS_Debt_Net</vt:lpstr>
      <vt:lpstr>MO_BSS_Debt_ST</vt:lpstr>
      <vt:lpstr>MO_BSS_Debt_ToCF</vt:lpstr>
      <vt:lpstr>MO_BSS_Debt_ToEBITDA</vt:lpstr>
      <vt:lpstr>MO_BSS_IE</vt:lpstr>
      <vt:lpstr>MO_BSS_IE_Net</vt:lpstr>
      <vt:lpstr>MO_BSS_II</vt:lpstr>
      <vt:lpstr>MO_BSS_InterestRate_Cash</vt:lpstr>
      <vt:lpstr>MO_BSS_InterestRate_Debt</vt:lpstr>
      <vt:lpstr>MO_BSS_NetInterestCoverage</vt:lpstr>
      <vt:lpstr>MO_BSS_NetInterestRate_Debt</vt:lpstr>
      <vt:lpstr>MO_BSS_OL</vt:lpstr>
      <vt:lpstr>MO_CCFS_Balance_Begin</vt:lpstr>
      <vt:lpstr>MO_CCFS_Balance_End</vt:lpstr>
      <vt:lpstr>MO_CCFS_CFF</vt:lpstr>
      <vt:lpstr>MO_CCFS_CFI</vt:lpstr>
      <vt:lpstr>MO_CCFS_CFO</vt:lpstr>
      <vt:lpstr>MO_CCFS_CFO_BeforeWC</vt:lpstr>
      <vt:lpstr>MO_CCFS_FX</vt:lpstr>
      <vt:lpstr>MO_CCFS_NetChange</vt:lpstr>
      <vt:lpstr>MO_CFS_Balance_Begin</vt:lpstr>
      <vt:lpstr>MO_CFS_Balance_End</vt:lpstr>
      <vt:lpstr>MO_CFS_Buyback</vt:lpstr>
      <vt:lpstr>MO_CFS_CFF</vt:lpstr>
      <vt:lpstr>MO_CFS_CFI</vt:lpstr>
      <vt:lpstr>MO_CFS_CFO</vt:lpstr>
      <vt:lpstr>MO_CFS_CFO_BeforeWC</vt:lpstr>
      <vt:lpstr>MO_CFS_FX</vt:lpstr>
      <vt:lpstr>MO_CFS_NetChange</vt:lpstr>
      <vt:lpstr>MO_CFS_NI</vt:lpstr>
      <vt:lpstr>MO_CFS_SBC</vt:lpstr>
      <vt:lpstr>MO_CFSum_Acquisition</vt:lpstr>
      <vt:lpstr>MO_CFSum_Capex</vt:lpstr>
      <vt:lpstr>MO_CFSum_CFO_BeforeWC</vt:lpstr>
      <vt:lpstr>MO_CFSum_CFPS</vt:lpstr>
      <vt:lpstr>MO_CFSum_Divestiture</vt:lpstr>
      <vt:lpstr>MO_CFSum_Dividend</vt:lpstr>
      <vt:lpstr>MO_CFSum_DPS</vt:lpstr>
      <vt:lpstr>MO_CFSum_FCF_PostDivPostAD</vt:lpstr>
      <vt:lpstr>MO_CFSum_FCF_PostDivPostADPostDebtPostBuyback</vt:lpstr>
      <vt:lpstr>MO_CFSum_FCF_PostDivPreAD</vt:lpstr>
      <vt:lpstr>MO_CFSum_FCF_PreDiv</vt:lpstr>
      <vt:lpstr>MO_CFSum_NetDebtIssuance</vt:lpstr>
      <vt:lpstr>MO_CFSum_NetShares</vt:lpstr>
      <vt:lpstr>MO_CFSum_NetShares_Price</vt:lpstr>
      <vt:lpstr>MO_CFSum_SBC</vt:lpstr>
      <vt:lpstr>MO_CFSum_SBC_Margin</vt:lpstr>
      <vt:lpstr>MO_Checks_Bottom</vt:lpstr>
      <vt:lpstr>MO_Checks_BS</vt:lpstr>
      <vt:lpstr>MO_Checks_CF</vt:lpstr>
      <vt:lpstr>MO_Checks_IS</vt:lpstr>
      <vt:lpstr>MO_Common_Column_A</vt:lpstr>
      <vt:lpstr>MO_Common_Column_B</vt:lpstr>
      <vt:lpstr>MO_Common_ColumnHeader</vt:lpstr>
      <vt:lpstr>MO_Common_CompanySubtitle</vt:lpstr>
      <vt:lpstr>MO_Common_CompanyTitle</vt:lpstr>
      <vt:lpstr>MO_Common_FPDays</vt:lpstr>
      <vt:lpstr>MO_Common_QEndDate</vt:lpstr>
      <vt:lpstr>MO_DAF_A</vt:lpstr>
      <vt:lpstr>MO_DAF_A_Percentage</vt:lpstr>
      <vt:lpstr>MO_DAF_Capex</vt:lpstr>
      <vt:lpstr>MO_DAF_D</vt:lpstr>
      <vt:lpstr>MO_DAF_D_Percentage</vt:lpstr>
      <vt:lpstr>MO_DAF_DA</vt:lpstr>
      <vt:lpstr>MO_DAF_Intangibles_BoP</vt:lpstr>
      <vt:lpstr>MO_DAF_Intangibles_Capex</vt:lpstr>
      <vt:lpstr>MO_DAF_Intangibles_Capex_Percent</vt:lpstr>
      <vt:lpstr>MO_DAF_Intangibles_EoP</vt:lpstr>
      <vt:lpstr>MO_DAF_Intangibles_Life</vt:lpstr>
      <vt:lpstr>MO_DAF_Intangibles_Other</vt:lpstr>
      <vt:lpstr>MO_DAF_PPE_BoP</vt:lpstr>
      <vt:lpstr>MO_DAF_PPE_Capex</vt:lpstr>
      <vt:lpstr>MO_DAF_PPE_EoP</vt:lpstr>
      <vt:lpstr>MO_DAF_PPE_Life</vt:lpstr>
      <vt:lpstr>MO_DAF_PPE_Other</vt:lpstr>
      <vt:lpstr>MO_GA_TotalRevenue</vt:lpstr>
      <vt:lpstr>MO_IS_EBIT</vt:lpstr>
      <vt:lpstr>MO_IS_EBT</vt:lpstr>
      <vt:lpstr>MO_IS_FirstRow</vt:lpstr>
      <vt:lpstr>MO_IS_GP</vt:lpstr>
      <vt:lpstr>MO_IS_NI_ContinOp</vt:lpstr>
      <vt:lpstr>MO_IS_REV</vt:lpstr>
      <vt:lpstr>MO_MA_COGS</vt:lpstr>
      <vt:lpstr>MO_MA_DA</vt:lpstr>
      <vt:lpstr>MO_MA_EBIT</vt:lpstr>
      <vt:lpstr>MO_MA_EBIT_Adj</vt:lpstr>
      <vt:lpstr>MO_MA_EBITDA</vt:lpstr>
      <vt:lpstr>MO_MA_EBITDA_Adj</vt:lpstr>
      <vt:lpstr>MO_MA_GA</vt:lpstr>
      <vt:lpstr>MO_MA_GM</vt:lpstr>
      <vt:lpstr>MO_MA_RD</vt:lpstr>
      <vt:lpstr>MO_MA_SBC</vt:lpstr>
      <vt:lpstr>MO_MA_SGA</vt:lpstr>
      <vt:lpstr>MO_MA_SM</vt:lpstr>
      <vt:lpstr>MO_RIS_Adjustments_Dilution_GAAP</vt:lpstr>
      <vt:lpstr>MO_RIS_Adjustments_Dilution_NONGAAP</vt:lpstr>
      <vt:lpstr>MO_RIS_Adjustments_NONGAAP</vt:lpstr>
      <vt:lpstr>MO_RIS_COGS</vt:lpstr>
      <vt:lpstr>MO_RIS_DA</vt:lpstr>
      <vt:lpstr>MO_RIS_DAintangibles</vt:lpstr>
      <vt:lpstr>MO_RIS_DisCont</vt:lpstr>
      <vt:lpstr>MO_RIS_Dividend_Prefs</vt:lpstr>
      <vt:lpstr>MO_RIS_EBIT</vt:lpstr>
      <vt:lpstr>MO_RIS_EBIT_Adj</vt:lpstr>
      <vt:lpstr>MO_RIS_EBITDA</vt:lpstr>
      <vt:lpstr>MO_RIS_EBITDA_Adj</vt:lpstr>
      <vt:lpstr>MO_RIS_EBT</vt:lpstr>
      <vt:lpstr>MO_RIS_EPS_WAB</vt:lpstr>
      <vt:lpstr>MO_RIS_EPS_WAD</vt:lpstr>
      <vt:lpstr>MO_RIS_EPS_WAD_Adj</vt:lpstr>
      <vt:lpstr>MO_RIS_GA</vt:lpstr>
      <vt:lpstr>MO_RIS_GP</vt:lpstr>
      <vt:lpstr>MO_RIS_IE</vt:lpstr>
      <vt:lpstr>MO_RIS_II</vt:lpstr>
      <vt:lpstr>MO_RIS_NCI</vt:lpstr>
      <vt:lpstr>MO_RIS_NI_ContinOp</vt:lpstr>
      <vt:lpstr>MO_RIS_NI_GAAP_Basic</vt:lpstr>
      <vt:lpstr>MO_RIS_NI_GAAP_Diluted</vt:lpstr>
      <vt:lpstr>MO_RIS_NI_NONGAAP_Diluted</vt:lpstr>
      <vt:lpstr>MO_RIS_OI</vt:lpstr>
      <vt:lpstr>MO_RIS_OTI</vt:lpstr>
      <vt:lpstr>MO_RIS_RD</vt:lpstr>
      <vt:lpstr>MO_RIS_REV</vt:lpstr>
      <vt:lpstr>MO_RIS_SBC</vt:lpstr>
      <vt:lpstr>MO_RIS_ShareCount_WAB</vt:lpstr>
      <vt:lpstr>MO_RIS_ShareCount_WAD</vt:lpstr>
      <vt:lpstr>MO_RIS_ShareCount_WAD_Adj</vt:lpstr>
      <vt:lpstr>MO_RIS_SM</vt:lpstr>
      <vt:lpstr>MO_RIS_Tax_Current</vt:lpstr>
      <vt:lpstr>MO_RIS_Tax_Deferred</vt:lpstr>
      <vt:lpstr>MO_RIS_TaxRate_Current</vt:lpstr>
      <vt:lpstr>MO_RIS_TaxRate_Deferred</vt:lpstr>
      <vt:lpstr>MO_Section_AdjustedNumbers</vt:lpstr>
      <vt:lpstr>MO_Section_BalanceSheet</vt:lpstr>
      <vt:lpstr>MO_Section_BalanceSheetSummary</vt:lpstr>
      <vt:lpstr>MO_Section_Canalyst</vt:lpstr>
      <vt:lpstr>MO_Section_CashFlowStatement</vt:lpstr>
      <vt:lpstr>MO_Section_CashFlowSummary</vt:lpstr>
      <vt:lpstr>MO_Section_ConsolidatedSummary</vt:lpstr>
      <vt:lpstr>MO_Section_CumulativeCashFlowStatement</vt:lpstr>
      <vt:lpstr>MO_Section_DAForecasting</vt:lpstr>
      <vt:lpstr>MO_Section_IncomeStatement</vt:lpstr>
      <vt:lpstr>MO_Section_KeyMetricsContentAssetsBreakdownFS</vt:lpstr>
      <vt:lpstr>MO_Section_KeyMetricsContentObligationsFS</vt:lpstr>
      <vt:lpstr>MO_Section_KeyMetricsHeadcountFS</vt:lpstr>
      <vt:lpstr>MO_Section_KeyMetricsShareofUSTVTimePR</vt:lpstr>
      <vt:lpstr>MO_Section_KeyMetricsYYCostGranularityFS</vt:lpstr>
      <vt:lpstr>MO_Section_LastRow</vt:lpstr>
      <vt:lpstr>MO_Section_MarginAnalysis</vt:lpstr>
      <vt:lpstr>MO_Section_ModelChecks</vt:lpstr>
      <vt:lpstr>MO_Section_OperatingExpenseForecasting</vt:lpstr>
      <vt:lpstr>MO_Section_OperatingStatsContentLibraryAmortizationSchedule</vt:lpstr>
      <vt:lpstr>MO_Section_OperatingStatsMembershipsMDA</vt:lpstr>
      <vt:lpstr>MO_Section_RevisedIncomeStatement</vt:lpstr>
      <vt:lpstr>MO_Section_SegmentedResultsAsiaPacificStreamingFS</vt:lpstr>
      <vt:lpstr>MO_Section_SegmentedResultsCostsBreakdownFS</vt:lpstr>
      <vt:lpstr>MO_Section_SegmentedResultsEMEAStreamingFS</vt:lpstr>
      <vt:lpstr>MO_Section_SegmentedResultsLatinAmericaStreamingFS</vt:lpstr>
      <vt:lpstr>MO_Section_SegmentedResultsRevenueBreakdownFS</vt:lpstr>
      <vt:lpstr>MO_Section_SegmentedResultsUnitedStatesDVDFS</vt:lpstr>
      <vt:lpstr>MO_Section_SegmentedResultsUSandCanadaStreamingFS</vt:lpstr>
      <vt:lpstr>MO_Section_SegmentSummary</vt:lpstr>
      <vt:lpstr>MO_Section_Tables</vt:lpstr>
      <vt:lpstr>MO_Section_Valuation</vt:lpstr>
      <vt:lpstr>MO_Section_WorkingCapitalForecasting</vt:lpstr>
      <vt:lpstr>MO_SNA_ConsensusEstimatePeriodNumber</vt:lpstr>
      <vt:lpstr>MO_SNA_ConsensusEstimatePeriodType</vt:lpstr>
      <vt:lpstr>MO_SNA_FPStartDate</vt:lpstr>
      <vt:lpstr>MO_SNA_IsHistoricalPeriod</vt:lpstr>
      <vt:lpstr>MO_SNA_LastDataRow</vt:lpstr>
      <vt:lpstr>MO_SPT_FXAverage</vt:lpstr>
      <vt:lpstr>MO_SPT_FXAverage_Sources</vt:lpstr>
      <vt:lpstr>MO_SPT_FXAverage_Sources_Bloomberg</vt:lpstr>
      <vt:lpstr>MO_SPT_FXAverage_Sources_CapIQ</vt:lpstr>
      <vt:lpstr>MO_SPT_FXAverage_Sources_FactSet</vt:lpstr>
      <vt:lpstr>MO_SPT_FXAverage_Sources_RealTimeOff</vt:lpstr>
      <vt:lpstr>MO_SPT_FXAverage_Sources_Thomson</vt:lpstr>
      <vt:lpstr>MO_SPT_StockAverage</vt:lpstr>
      <vt:lpstr>MO_SPT_StockAverage_Sources</vt:lpstr>
      <vt:lpstr>MO_SPT_StockAverage_Sources_Bloomberg</vt:lpstr>
      <vt:lpstr>MO_SPT_StockAverage_Sources_CapIQ</vt:lpstr>
      <vt:lpstr>MO_SPT_StockAverage_Sources_FactSet</vt:lpstr>
      <vt:lpstr>MO_SPT_StockAverage_Sources_RealTimeOff</vt:lpstr>
      <vt:lpstr>MO_SPT_StockAverage_Sources_Thomson</vt:lpstr>
      <vt:lpstr>MO_SPT_StockHigh</vt:lpstr>
      <vt:lpstr>MO_SPT_StockHigh_Sources</vt:lpstr>
      <vt:lpstr>MO_SPT_StockHigh_Sources_Bloomberg</vt:lpstr>
      <vt:lpstr>MO_SPT_StockHigh_Sources_CapIQ</vt:lpstr>
      <vt:lpstr>MO_SPT_StockHigh_Sources_FactSet</vt:lpstr>
      <vt:lpstr>MO_SPT_StockHigh_Sources_RealTimeOff</vt:lpstr>
      <vt:lpstr>MO_SPT_StockHigh_Sources_Thomson</vt:lpstr>
      <vt:lpstr>MO_SPT_StockLow</vt:lpstr>
      <vt:lpstr>MO_SPT_StockLow_Sources</vt:lpstr>
      <vt:lpstr>MO_SPT_StockLow_Sources_Bloomberg</vt:lpstr>
      <vt:lpstr>MO_SPT_StockLow_Sources_CapIQ</vt:lpstr>
      <vt:lpstr>MO_SPT_StockLow_Sources_FactSet</vt:lpstr>
      <vt:lpstr>MO_SPT_StockLow_Sources_RealTimeOff</vt:lpstr>
      <vt:lpstr>MO_SPT_StockLow_Sources_Thomson</vt:lpstr>
      <vt:lpstr>MO_SubSection_BS_CA</vt:lpstr>
      <vt:lpstr>MO_SubSection_BS_CL</vt:lpstr>
      <vt:lpstr>MO_SubSection_BS_NCA</vt:lpstr>
      <vt:lpstr>MO_SubSection_BS_NCL</vt:lpstr>
      <vt:lpstr>MO_SubSection_BS_SE</vt:lpstr>
      <vt:lpstr>MO_SubSection_CCFS_CFF</vt:lpstr>
      <vt:lpstr>MO_SubSection_CCFS_CFI</vt:lpstr>
      <vt:lpstr>MO_SubSection_CCFS_CFO</vt:lpstr>
      <vt:lpstr>MO_SubSection_CFS_CFF</vt:lpstr>
      <vt:lpstr>MO_SubSection_CFS_CFI</vt:lpstr>
      <vt:lpstr>MO_SubSection_CFS_CFO</vt:lpstr>
      <vt:lpstr>MO_VA_EV</vt:lpstr>
      <vt:lpstr>MO_VA_EV_ToEBITDA</vt:lpstr>
      <vt:lpstr>MO_VA_EVCalc_NCI</vt:lpstr>
      <vt:lpstr>MO_VA_EVCalc_Other</vt:lpstr>
      <vt:lpstr>MO_VA_EVCalc_Prefs</vt:lpstr>
      <vt:lpstr>MO_VA_FCFYield_ToEV</vt:lpstr>
      <vt:lpstr>MO_VA_FCFYield_ToMktCap</vt:lpstr>
      <vt:lpstr>MO_VA_FX_Average</vt:lpstr>
      <vt:lpstr>MO_VA_MarketCap</vt:lpstr>
      <vt:lpstr>MO_VA_P_ToCF</vt:lpstr>
      <vt:lpstr>MO_VA_P_ToE</vt:lpstr>
      <vt:lpstr>MO_VA_StockPrice</vt:lpstr>
      <vt:lpstr>MO_VA_StockPrice_Avg</vt:lpstr>
      <vt:lpstr>MO_VA_StockPrice_High</vt:lpstr>
      <vt:lpstr>MO_VA_StockPrice_Low</vt:lpstr>
      <vt:lpstr>MO_VA_StockPrice_TradingCurrency</vt:lpstr>
      <vt:lpstr>Model!Print_Area</vt:lpstr>
      <vt:lpstr>'Summary Page'!Print_Area</vt:lpstr>
      <vt:lpstr>Model!Print_Titles</vt:lpstr>
      <vt:lpstr>SP.ReportFX</vt:lpstr>
      <vt:lpstr>SP.ValuationToggle</vt:lpstr>
      <vt:lpstr>SP_BSR_Capital</vt:lpstr>
      <vt:lpstr>SP_BSR_CashFlow</vt:lpstr>
      <vt:lpstr>SP_BSR_CashFlow_LTM</vt:lpstr>
      <vt:lpstr>SP_BSR_CL</vt:lpstr>
      <vt:lpstr>SP_BSR_CL_Avg</vt:lpstr>
      <vt:lpstr>SP_BSR_Debt</vt:lpstr>
      <vt:lpstr>SP_BSR_Debt_Avg</vt:lpstr>
      <vt:lpstr>SP_BSR_EBITDA</vt:lpstr>
      <vt:lpstr>SP_BSR_EBITDA_LTM</vt:lpstr>
      <vt:lpstr>SP_BSR_SE</vt:lpstr>
      <vt:lpstr>SP_BSR_SE_Avg</vt:lpstr>
      <vt:lpstr>SP_BSR_TA</vt:lpstr>
      <vt:lpstr>SP_BSR_TA_Avg</vt:lpstr>
      <vt:lpstr>SP_CFA_Acquisition</vt:lpstr>
      <vt:lpstr>SP_CFA_Capex</vt:lpstr>
      <vt:lpstr>SP_CFA_CFO_BeforeWC</vt:lpstr>
      <vt:lpstr>SP_CFA_CFO_PerShare</vt:lpstr>
      <vt:lpstr>SP_CFA_Debt</vt:lpstr>
      <vt:lpstr>SP_CFA_Div</vt:lpstr>
      <vt:lpstr>SP_CFA_Div_PerShare</vt:lpstr>
      <vt:lpstr>SP_CFA_Divestiture</vt:lpstr>
      <vt:lpstr>SP_CFA_Equity</vt:lpstr>
      <vt:lpstr>SP_CFA_FCF_PerShare</vt:lpstr>
      <vt:lpstr>SP_CFA_FCF_PostDiv</vt:lpstr>
      <vt:lpstr>SP_CFA_FCF_PreDiv</vt:lpstr>
      <vt:lpstr>SP_CFA_NetChange</vt:lpstr>
      <vt:lpstr>SP_CFA_Other</vt:lpstr>
      <vt:lpstr>SP_CFA_Payout_vsEPS</vt:lpstr>
      <vt:lpstr>SP_CFA_Payout_vsFCF</vt:lpstr>
      <vt:lpstr>SP_CFA_WC</vt:lpstr>
      <vt:lpstr>SP_Checks_SummaryPage</vt:lpstr>
      <vt:lpstr>SP_Common_Column_A</vt:lpstr>
      <vt:lpstr>SP_Common_Column_B</vt:lpstr>
      <vt:lpstr>SP_Common_ColumnHeader</vt:lpstr>
      <vt:lpstr>SP_Common_QEndDate</vt:lpstr>
      <vt:lpstr>SP_CS_Cash</vt:lpstr>
      <vt:lpstr>SP_CS_Debt</vt:lpstr>
      <vt:lpstr>SP_CS_EV</vt:lpstr>
      <vt:lpstr>SP_CS_EVCalc_Other</vt:lpstr>
      <vt:lpstr>SP_CS_MarketCap</vt:lpstr>
      <vt:lpstr>SP_CS_OL</vt:lpstr>
      <vt:lpstr>SP_CS_ShareCount</vt:lpstr>
      <vt:lpstr>SP_CS_StockPrice</vt:lpstr>
      <vt:lpstr>SP_GF_COGS</vt:lpstr>
      <vt:lpstr>SP_GF_DisCont</vt:lpstr>
      <vt:lpstr>SP_GF_Div_Prefs</vt:lpstr>
      <vt:lpstr>SP_GF_EBIT</vt:lpstr>
      <vt:lpstr>SP_GF_EBT</vt:lpstr>
      <vt:lpstr>SP_GF_EPS_GAAP</vt:lpstr>
      <vt:lpstr>SP_GF_GA</vt:lpstr>
      <vt:lpstr>SP_GF_IE</vt:lpstr>
      <vt:lpstr>SP_GF_IE_Net</vt:lpstr>
      <vt:lpstr>SP_GF_NCI</vt:lpstr>
      <vt:lpstr>SP_GF_NI</vt:lpstr>
      <vt:lpstr>SP_GF_OI</vt:lpstr>
      <vt:lpstr>SP_GF_RD</vt:lpstr>
      <vt:lpstr>SP_GF_Rev</vt:lpstr>
      <vt:lpstr>SP_GF_SM</vt:lpstr>
      <vt:lpstr>SP_GF_Tax</vt:lpstr>
      <vt:lpstr>SP_MA_COGS</vt:lpstr>
      <vt:lpstr>SP_MA_EBIT</vt:lpstr>
      <vt:lpstr>SP_MA_EBIT_Adj</vt:lpstr>
      <vt:lpstr>SP_MA_EBITDA</vt:lpstr>
      <vt:lpstr>SP_MA_EBITDA_Adj</vt:lpstr>
      <vt:lpstr>SP_MA_GA</vt:lpstr>
      <vt:lpstr>SP_MA_RD</vt:lpstr>
      <vt:lpstr>SP_MA_SM</vt:lpstr>
      <vt:lpstr>SP_NGF_EBIT</vt:lpstr>
      <vt:lpstr>SP_NGF_EBITDA</vt:lpstr>
      <vt:lpstr>SP_NGF_EPS</vt:lpstr>
      <vt:lpstr>SP_NGF_NI</vt:lpstr>
      <vt:lpstr>SP_PR_ROA</vt:lpstr>
      <vt:lpstr>SP_PR_ROCE</vt:lpstr>
      <vt:lpstr>SP_PR_ROE</vt:lpstr>
      <vt:lpstr>SP_PR_ROIC</vt:lpstr>
      <vt:lpstr>SP_Section_Checks</vt:lpstr>
      <vt:lpstr>SP_Section_GAAPFinancials</vt:lpstr>
      <vt:lpstr>SP_Section_LastRow</vt:lpstr>
      <vt:lpstr>SP_Section_MarginAnalysis</vt:lpstr>
      <vt:lpstr>tb_ConsensusEstimate</vt:lpstr>
      <vt:lpstr>tb_EntireModel</vt:lpstr>
      <vt:lpstr>tb_KeyOutputs</vt:lpstr>
      <vt:lpstr>tb_StockPrice</vt:lpstr>
      <vt:lpstr>tb_Tickers</vt:lpstr>
      <vt:lpstr>tb_UpdateLog</vt:lpstr>
      <vt:lpstr>tb_ValuationToggle</vt:lpstr>
      <vt:lpstr>UL.CSIN</vt:lpstr>
      <vt:lpstr>UL.ModelVersion</vt:lpstr>
      <vt:lpstr>UL.MRQ</vt:lpstr>
      <vt:lpstr>UL.MRQColNum</vt:lpstr>
      <vt:lpstr>'Supplemental Data'!WS_ColumnHeader</vt:lpstr>
      <vt:lpstr>'Supplemental Data'!WS_LastRow</vt:lpstr>
      <vt:lpstr>'Supplemental Data'!WS_PeriodMetadata_FPDays</vt:lpstr>
      <vt:lpstr>'Supplemental Data'!WS_PeriodMetadata_PAnnotation</vt:lpstr>
      <vt:lpstr>'Supplemental Data'!WS_PeriodMetadata_PEndDate</vt:lpstr>
      <vt:lpstr>'Supplemental Data'!WS_RowTitle</vt:lpstr>
      <vt:lpstr>'Supplemental Data'!WS_WorkingRange_FirstColumn</vt:lpstr>
      <vt:lpstr>'Supplemental Data'!WS_WorkingRange_FirstRow</vt:lpstr>
      <vt:lpstr>'Supplemental Data'!WS_WorkingRange_LastColumn</vt:lpstr>
      <vt:lpstr>'Supplemental Data'!WS_WorkingRange_LastRow</vt:lpstr>
      <vt:lpstr>z_NVC8NN0168_MO_AN_AcquisitionofDVDcontentassets</vt:lpstr>
      <vt:lpstr>z_NVC8NN0168_MO_AN_adjustedebitda</vt:lpstr>
      <vt:lpstr>z_NVC8NN0168_MO_AN_Changeinotherassets</vt:lpstr>
      <vt:lpstr>z_NVC8NN0168_MO_AN_da</vt:lpstr>
      <vt:lpstr>z_NVC8NN0168_MO_AN_DVDcontentamortization</vt:lpstr>
      <vt:lpstr>z_NVC8NN0168_MO_AN_foreignexchangeimpact</vt:lpstr>
      <vt:lpstr>z_NVC8NN0168_MO_AN_FreeCashFlow</vt:lpstr>
      <vt:lpstr>z_NVC8NN0168_MO_AN_gaapnetincome</vt:lpstr>
      <vt:lpstr>z_NVC8NN0168_MO_AN_gaapnetincome_1</vt:lpstr>
      <vt:lpstr>z_NVC8NN0168_MO_AN_incometaxeffect</vt:lpstr>
      <vt:lpstr>z_NVC8NN0168_MO_AN_Interestandotherincomeexpense</vt:lpstr>
      <vt:lpstr>z_NVC8NN0168_MO_AN_Licensedcontentamortization</vt:lpstr>
      <vt:lpstr>z_NVC8NN0168_MO_AN_Lossonextinguishmentofdebt</vt:lpstr>
      <vt:lpstr>z_NVC8NN0168_MO_AN_Netcashfromoperatingactivities</vt:lpstr>
      <vt:lpstr>z_NVC8NN0168_MO_AN_netincome</vt:lpstr>
      <vt:lpstr>z_NVC8NN0168_MO_AN_nongaapnetincome</vt:lpstr>
      <vt:lpstr>z_NVC8NN0168_MO_AN_numeratorfordilutedearningspershare</vt:lpstr>
      <vt:lpstr>z_NVC8NN0168_MO_AN_Producedcontentamortization</vt:lpstr>
      <vt:lpstr>z_NVC8NN0168_MO_AN_provisionbenefitforincometaxes</vt:lpstr>
      <vt:lpstr>z_NVC8NN0168_MO_AN_Purchasesofpropertyandequipment</vt:lpstr>
      <vt:lpstr>z_NVC8NN0168_MO_AN_releaseoftaxaccrual</vt:lpstr>
      <vt:lpstr>z_NVC8NN0168_MO_AN_sbc</vt:lpstr>
      <vt:lpstr>z_NVC8NN0168_MO_AN_seniorconvertiblenotesinterestexpense</vt:lpstr>
      <vt:lpstr>z_NVC8NN0168_MO_AN_StreamingContentamortization</vt:lpstr>
      <vt:lpstr>z_NVC8NN0168_MO_AN_Totalamortization</vt:lpstr>
      <vt:lpstr>z_NVC8NN0168_MO_BlankRow_AN</vt:lpstr>
      <vt:lpstr>z_NVC8NN0168_MO_BlankRow_AN_1</vt:lpstr>
      <vt:lpstr>z_NVC8NN0168_MO_BlankRow_AN_2</vt:lpstr>
      <vt:lpstr>z_NVC8NN0168_MO_BlankRow_AN_5</vt:lpstr>
      <vt:lpstr>z_NVC8NN0168_MO_BlankRow_BS_1</vt:lpstr>
      <vt:lpstr>z_NVC8NN0168_MO_BlankRow_BS_2</vt:lpstr>
      <vt:lpstr>z_NVC8NN0168_MO_BlankRow_BS_3</vt:lpstr>
      <vt:lpstr>z_NVC8NN0168_MO_BlankRow_BS_4</vt:lpstr>
      <vt:lpstr>z_NVC8NN0168_MO_BlankRow_BS_5</vt:lpstr>
      <vt:lpstr>z_NVC8NN0168_MO_BlankRow_BS_6</vt:lpstr>
      <vt:lpstr>z_NVC8NN0168_MO_BlankRow_BSS</vt:lpstr>
      <vt:lpstr>z_NVC8NN0168_MO_BlankRow_BSS_1</vt:lpstr>
      <vt:lpstr>z_NVC8NN0168_MO_BlankRow_BSS_2</vt:lpstr>
      <vt:lpstr>z_NVC8NN0168_MO_BlankRow_CCFS</vt:lpstr>
      <vt:lpstr>z_NVC8NN0168_MO_BlankRow_CCFS_1</vt:lpstr>
      <vt:lpstr>z_NVC8NN0168_MO_BlankRow_CCFS_2</vt:lpstr>
      <vt:lpstr>z_NVC8NN0168_MO_BlankRow_CCFS_3</vt:lpstr>
      <vt:lpstr>z_NVC8NN0168_MO_BlankRow_CCFS_4</vt:lpstr>
      <vt:lpstr>z_NVC8NN0168_MO_BlankRow_CFS_2</vt:lpstr>
      <vt:lpstr>z_NVC8NN0168_MO_BlankRow_CFS_3</vt:lpstr>
      <vt:lpstr>z_NVC8NN0168_MO_BlankRow_CFS_4</vt:lpstr>
      <vt:lpstr>z_NVC8NN0168_MO_BlankRow_CFS_5</vt:lpstr>
      <vt:lpstr>z_NVC8NN0168_MO_BlankRow_CFS_6</vt:lpstr>
      <vt:lpstr>z_NVC8NN0168_MO_BlankRow_CFS_7</vt:lpstr>
      <vt:lpstr>z_NVC8NN0168_MO_BlankRow_CFSum</vt:lpstr>
      <vt:lpstr>z_NVC8NN0168_MO_BlankRow_CFSum_1</vt:lpstr>
      <vt:lpstr>z_NVC8NN0168_MO_BlankRow_CFSum_2</vt:lpstr>
      <vt:lpstr>z_NVC8NN0168_MO_BlankRow_CFSum_3</vt:lpstr>
      <vt:lpstr>z_NVC8NN0168_MO_BlankRow_DAF</vt:lpstr>
      <vt:lpstr>z_NVC8NN0168_MO_BlankRow_DAF_1</vt:lpstr>
      <vt:lpstr>z_NVC8NN0168_MO_BlankRow_DAF_2</vt:lpstr>
      <vt:lpstr>z_NVC8NN0168_MO_BlankRow_DAF_3</vt:lpstr>
      <vt:lpstr>z_NVC8NN0168_MO_BlankRow_GA_16</vt:lpstr>
      <vt:lpstr>z_NVC8NN0168_MO_BlankRow_GA_7</vt:lpstr>
      <vt:lpstr>z_NVC8NN0168_MO_BlankRow_IS</vt:lpstr>
      <vt:lpstr>z_NVC8NN0168_MO_BlankRow_IS_1</vt:lpstr>
      <vt:lpstr>z_NVC8NN0168_MO_BlankRow_MA</vt:lpstr>
      <vt:lpstr>z_NVC8NN0168_MO_BlankRow_MA_2</vt:lpstr>
      <vt:lpstr>z_NVC8NN0168_MO_BlankRow_MA_3</vt:lpstr>
      <vt:lpstr>z_NVC8NN0168_MO_BlankRow_MA_4</vt:lpstr>
      <vt:lpstr>z_NVC8NN0168_MO_BlankRow_MA_5</vt:lpstr>
      <vt:lpstr>z_NVC8NN0168_MO_BlankRow_MA_6</vt:lpstr>
      <vt:lpstr>z_NVC8NN0168_MO_BlankRow_MA_7</vt:lpstr>
      <vt:lpstr>z_NVC8NN0168_MO_BlankRow_OS_1</vt:lpstr>
      <vt:lpstr>z_NVC8NN0168_MO_BlankRow_OS_10</vt:lpstr>
      <vt:lpstr>z_NVC8NN0168_MO_BlankRow_OS_100</vt:lpstr>
      <vt:lpstr>z_NVC8NN0168_MO_BlankRow_OS_11</vt:lpstr>
      <vt:lpstr>z_NVC8NN0168_MO_BlankRow_OS_12</vt:lpstr>
      <vt:lpstr>z_NVC8NN0168_MO_BlankRow_OS_13</vt:lpstr>
      <vt:lpstr>z_NVC8NN0168_MO_BlankRow_OS_16</vt:lpstr>
      <vt:lpstr>z_NVC8NN0168_MO_BlankRow_OS_17</vt:lpstr>
      <vt:lpstr>z_NVC8NN0168_MO_BlankRow_OS_2</vt:lpstr>
      <vt:lpstr>z_NVC8NN0168_MO_BlankRow_OS_29</vt:lpstr>
      <vt:lpstr>z_NVC8NN0168_MO_BlankRow_OS_3</vt:lpstr>
      <vt:lpstr>z_NVC8NN0168_MO_BlankRow_OS_30</vt:lpstr>
      <vt:lpstr>z_NVC8NN0168_MO_BlankRow_OS_37</vt:lpstr>
      <vt:lpstr>z_NVC8NN0168_MO_BlankRow_OS_39</vt:lpstr>
      <vt:lpstr>z_NVC8NN0168_MO_BlankRow_OS_40</vt:lpstr>
      <vt:lpstr>z_NVC8NN0168_MO_BlankRow_OS_41</vt:lpstr>
      <vt:lpstr>z_NVC8NN0168_MO_BlankRow_OS_42</vt:lpstr>
      <vt:lpstr>z_NVC8NN0168_MO_BlankRow_OS_44</vt:lpstr>
      <vt:lpstr>z_NVC8NN0168_MO_BlankRow_OS_47</vt:lpstr>
      <vt:lpstr>z_NVC8NN0168_MO_BlankRow_OS_48</vt:lpstr>
      <vt:lpstr>z_NVC8NN0168_MO_BlankRow_OS_49</vt:lpstr>
      <vt:lpstr>z_NVC8NN0168_MO_BlankRow_OS_50</vt:lpstr>
      <vt:lpstr>z_NVC8NN0168_MO_BlankRow_OS_55</vt:lpstr>
      <vt:lpstr>z_NVC8NN0168_MO_BlankRow_OS_56</vt:lpstr>
      <vt:lpstr>z_NVC8NN0168_MO_BlankRow_OS_57</vt:lpstr>
      <vt:lpstr>z_NVC8NN0168_MO_BlankRow_OS_60</vt:lpstr>
      <vt:lpstr>z_NVC8NN0168_MO_BlankRow_OS_61</vt:lpstr>
      <vt:lpstr>z_NVC8NN0168_MO_BlankRow_OS_62</vt:lpstr>
      <vt:lpstr>z_NVC8NN0168_MO_BlankRow_OS_65</vt:lpstr>
      <vt:lpstr>z_NVC8NN0168_MO_BlankRow_OS_66</vt:lpstr>
      <vt:lpstr>z_NVC8NN0168_MO_BlankRow_OS_67</vt:lpstr>
      <vt:lpstr>z_NVC8NN0168_MO_BlankRow_OS_7</vt:lpstr>
      <vt:lpstr>z_NVC8NN0168_MO_BlankRow_OS_70</vt:lpstr>
      <vt:lpstr>z_NVC8NN0168_MO_BlankRow_OS_71</vt:lpstr>
      <vt:lpstr>z_NVC8NN0168_MO_BlankRow_OS_72</vt:lpstr>
      <vt:lpstr>z_NVC8NN0168_MO_BlankRow_OS_73</vt:lpstr>
      <vt:lpstr>z_NVC8NN0168_MO_BlankRow_OS_74</vt:lpstr>
      <vt:lpstr>z_NVC8NN0168_MO_BlankRow_OS_75</vt:lpstr>
      <vt:lpstr>z_NVC8NN0168_MO_BlankRow_OS_76</vt:lpstr>
      <vt:lpstr>z_NVC8NN0168_MO_BlankRow_OS_77</vt:lpstr>
      <vt:lpstr>z_NVC8NN0168_MO_BlankRow_OS_78</vt:lpstr>
      <vt:lpstr>z_NVC8NN0168_MO_BlankRow_OS_79</vt:lpstr>
      <vt:lpstr>z_NVC8NN0168_MO_BlankRow_OS_8</vt:lpstr>
      <vt:lpstr>z_NVC8NN0168_MO_BlankRow_OS_80</vt:lpstr>
      <vt:lpstr>z_NVC8NN0168_MO_BlankRow_OS_81</vt:lpstr>
      <vt:lpstr>z_NVC8NN0168_MO_BlankRow_OS_82</vt:lpstr>
      <vt:lpstr>z_NVC8NN0168_MO_BlankRow_OS_83</vt:lpstr>
      <vt:lpstr>z_NVC8NN0168_MO_BlankRow_OS_84</vt:lpstr>
      <vt:lpstr>z_NVC8NN0168_MO_BlankRow_OS_85</vt:lpstr>
      <vt:lpstr>z_NVC8NN0168_MO_BlankRow_OS_86</vt:lpstr>
      <vt:lpstr>z_NVC8NN0168_MO_BlankRow_OS_87</vt:lpstr>
      <vt:lpstr>z_NVC8NN0168_MO_BlankRow_OS_88</vt:lpstr>
      <vt:lpstr>z_NVC8NN0168_MO_BlankRow_OS_89</vt:lpstr>
      <vt:lpstr>z_NVC8NN0168_MO_BlankRow_OS_90</vt:lpstr>
      <vt:lpstr>z_NVC8NN0168_MO_BlankRow_OS_91</vt:lpstr>
      <vt:lpstr>z_NVC8NN0168_MO_BlankRow_OS_92</vt:lpstr>
      <vt:lpstr>z_NVC8NN0168_MO_BlankRow_OS_93</vt:lpstr>
      <vt:lpstr>z_NVC8NN0168_MO_BlankRow_OS_94</vt:lpstr>
      <vt:lpstr>z_NVC8NN0168_MO_BlankRow_OS_95</vt:lpstr>
      <vt:lpstr>z_NVC8NN0168_MO_BlankRow_OS_96</vt:lpstr>
      <vt:lpstr>z_NVC8NN0168_MO_BlankRow_OS_97</vt:lpstr>
      <vt:lpstr>z_NVC8NN0168_MO_BlankRow_OS_98</vt:lpstr>
      <vt:lpstr>z_NVC8NN0168_MO_BlankRow_OS_99</vt:lpstr>
      <vt:lpstr>z_NVC8NN0168_MO_BlankRow_RIS</vt:lpstr>
      <vt:lpstr>z_NVC8NN0168_MO_BlankRow_RIS_1</vt:lpstr>
      <vt:lpstr>z_NVC8NN0168_MO_BlankRow_RIS_2</vt:lpstr>
      <vt:lpstr>z_NVC8NN0168_MO_BlankRow_RIS_3</vt:lpstr>
      <vt:lpstr>z_NVC8NN0168_MO_BlankRow_RIS_4</vt:lpstr>
      <vt:lpstr>z_NVC8NN0168_MO_BlankRow_RIS_5</vt:lpstr>
      <vt:lpstr>z_NVC8NN0168_MO_BlankRow_RIS_6</vt:lpstr>
      <vt:lpstr>z_NVC8NN0168_MO_BlankRow_RIS_7</vt:lpstr>
      <vt:lpstr>z_NVC8NN0168_MO_BlankRow_RIS_8</vt:lpstr>
      <vt:lpstr>z_NVC8NN0168_MO_BlankRow_SNA</vt:lpstr>
      <vt:lpstr>z_NVC8NN0168_MO_BlankRow_SNA_1</vt:lpstr>
      <vt:lpstr>z_NVC8NN0168_MO_BlankRow_SNA_10</vt:lpstr>
      <vt:lpstr>z_NVC8NN0168_MO_BlankRow_SNA_11</vt:lpstr>
      <vt:lpstr>z_NVC8NN0168_MO_BlankRow_SNA_12</vt:lpstr>
      <vt:lpstr>z_NVC8NN0168_MO_BlankRow_SNA_13</vt:lpstr>
      <vt:lpstr>z_NVC8NN0168_MO_BlankRow_SNA_2</vt:lpstr>
      <vt:lpstr>z_NVC8NN0168_MO_BlankRow_SNA_3</vt:lpstr>
      <vt:lpstr>z_NVC8NN0168_MO_BlankRow_SNA_4</vt:lpstr>
      <vt:lpstr>z_NVC8NN0168_MO_BlankRow_SNA_5</vt:lpstr>
      <vt:lpstr>z_NVC8NN0168_MO_BlankRow_SNA_6</vt:lpstr>
      <vt:lpstr>z_NVC8NN0168_MO_BlankRow_SNA_7</vt:lpstr>
      <vt:lpstr>z_NVC8NN0168_MO_BlankRow_SNA_8</vt:lpstr>
      <vt:lpstr>z_NVC8NN0168_MO_BlankRow_SNA_9</vt:lpstr>
      <vt:lpstr>z_NVC8NN0168_MO_BS_Accountspayable</vt:lpstr>
      <vt:lpstr>z_NVC8NN0168_MO_BS_accruedexpenses</vt:lpstr>
      <vt:lpstr>z_NVC8NN0168_MO_BS_Accruedexpensesexcludingoperatingleaseliabilities</vt:lpstr>
      <vt:lpstr>z_NVC8NN0168_MO_BS_Accumulatedothercomprehensiveloss</vt:lpstr>
      <vt:lpstr>z_NVC8NN0168_MO_BS_additionalpaidincapital</vt:lpstr>
      <vt:lpstr>z_NVC8NN0168_MO_BS_BSCheck</vt:lpstr>
      <vt:lpstr>z_NVC8NN0168_MO_BS_cashandcashequivalents</vt:lpstr>
      <vt:lpstr>z_NVC8NN0168_MO_BS_commonstock</vt:lpstr>
      <vt:lpstr>z_NVC8NN0168_MO_BS_CurrentAssets</vt:lpstr>
      <vt:lpstr>z_NVC8NN0168_MO_BS_currentcontentliabilities</vt:lpstr>
      <vt:lpstr>z_NVC8NN0168_MO_BS_Currentcontentlibrary</vt:lpstr>
      <vt:lpstr>z_NVC8NN0168_MO_BS_CurrentLiabilities</vt:lpstr>
      <vt:lpstr>z_NVC8NN0168_MO_BS_Currentoperatingleaseliabilities</vt:lpstr>
      <vt:lpstr>z_NVC8NN0168_MO_BS_currentportionofleasefinancingobligations</vt:lpstr>
      <vt:lpstr>z_NVC8NN0168_MO_BS_deferredrevenue</vt:lpstr>
      <vt:lpstr>z_NVC8NN0168_MO_BS_deferredtaxassets</vt:lpstr>
      <vt:lpstr>z_NVC8NN0168_MO_BS_deferredtaxassets_1</vt:lpstr>
      <vt:lpstr>z_NVC8NN0168_MO_BS_DVD</vt:lpstr>
      <vt:lpstr>z_NVC8NN0168_MO_BS_Indevelopmentandproduction</vt:lpstr>
      <vt:lpstr>z_NVC8NN0168_MO_BS_Inproduction</vt:lpstr>
      <vt:lpstr>z_NVC8NN0168_MO_BS_Licensedcontent</vt:lpstr>
      <vt:lpstr>z_NVC8NN0168_MO_BS_Longtermdebt</vt:lpstr>
      <vt:lpstr>z_NVC8NN0168_MO_BS_Longtermdebtduetorelatedparty</vt:lpstr>
      <vt:lpstr>z_NVC8NN0168_MO_BS_NCI</vt:lpstr>
      <vt:lpstr>z_NVC8NN0168_MO_BS_NonCurrentAssets</vt:lpstr>
      <vt:lpstr>z_NVC8NN0168_MO_BS_noncurrentcontentliabilities</vt:lpstr>
      <vt:lpstr>z_NVC8NN0168_MO_BS_noncurrentcontentlibrary</vt:lpstr>
      <vt:lpstr>z_NVC8NN0168_MO_BS_NonCurrentLiabilities</vt:lpstr>
      <vt:lpstr>z_NVC8NN0168_MO_BS_NonCurrentoperatingleaseliabilities</vt:lpstr>
      <vt:lpstr>z_NVC8NN0168_MO_BS_Othercurrentassets</vt:lpstr>
      <vt:lpstr>z_NVC8NN0168_MO_BS_Othernoncurrentassets</vt:lpstr>
      <vt:lpstr>z_NVC8NN0168_MO_BS_Othernoncurrentliabilities</vt:lpstr>
      <vt:lpstr>z_NVC8NN0168_MO_BS_Othernoncurrentliabilitiesexcludingnoncurrentoperatingleaseliabilities</vt:lpstr>
      <vt:lpstr>z_NVC8NN0168_MO_BS_prepaidcontent</vt:lpstr>
      <vt:lpstr>z_NVC8NN0168_MO_BS_prepaidexpenses</vt:lpstr>
      <vt:lpstr>z_NVC8NN0168_MO_BS_prepaidrevenuesharingexpenses</vt:lpstr>
      <vt:lpstr>z_NVC8NN0168_MO_BS_Producedcontent</vt:lpstr>
      <vt:lpstr>z_NVC8NN0168_MO_BS_Propertyandequipment</vt:lpstr>
      <vt:lpstr>z_NVC8NN0168_MO_BS_Released</vt:lpstr>
      <vt:lpstr>z_NVC8NN0168_MO_BS_RestrictedCash</vt:lpstr>
      <vt:lpstr>z_NVC8NN0168_MO_BS_RestrictedcashinOthercurrentassets</vt:lpstr>
      <vt:lpstr>z_NVC8NN0168_MO_BS_retainedearnings</vt:lpstr>
      <vt:lpstr>z_NVC8NN0168_MO_BS_ShareholdersEquity</vt:lpstr>
      <vt:lpstr>z_NVC8NN0168_MO_BS_Shorttermdebt</vt:lpstr>
      <vt:lpstr>z_NVC8NN0168_MO_BS_shortterminvestments</vt:lpstr>
      <vt:lpstr>z_NVC8NN0168_MO_BS_TotalAssets</vt:lpstr>
      <vt:lpstr>z_NVC8NN0168_MO_BS_TotalCurrentAssets</vt:lpstr>
      <vt:lpstr>z_NVC8NN0168_MO_BS_TotalCurrentLiabilities</vt:lpstr>
      <vt:lpstr>z_NVC8NN0168_MO_BS_TotalLiabilities</vt:lpstr>
      <vt:lpstr>z_NVC8NN0168_MO_BS_TotalLiabilitiesSE</vt:lpstr>
      <vt:lpstr>z_NVC8NN0168_MO_BS_TotalNonCurrentAssets</vt:lpstr>
      <vt:lpstr>z_NVC8NN0168_MO_BS_TotalNonCurrentliabilities</vt:lpstr>
      <vt:lpstr>z_NVC8NN0168_MO_BS_TotalSE</vt:lpstr>
      <vt:lpstr>z_NVC8NN0168_MO_BS_Treasurystock</vt:lpstr>
      <vt:lpstr>z_NVC8NN0168_MO_BSS_Cash</vt:lpstr>
      <vt:lpstr>z_NVC8NN0168_MO_BSS_Debt</vt:lpstr>
      <vt:lpstr>z_NVC8NN0168_MO_BSS_DebtCashFlow</vt:lpstr>
      <vt:lpstr>z_NVC8NN0168_MO_BSS_DebtEBITDA</vt:lpstr>
      <vt:lpstr>z_NVC8NN0168_MO_BSS_EBITDANetInterestExpense</vt:lpstr>
      <vt:lpstr>z_NVC8NN0168_MO_BSS_EffectiveInterestRateonCash</vt:lpstr>
      <vt:lpstr>z_NVC8NN0168_MO_BSS_EffectiveInterestRateonDebt</vt:lpstr>
      <vt:lpstr>z_NVC8NN0168_MO_BSS_EffectiveNetInterestRateonDebt</vt:lpstr>
      <vt:lpstr>z_NVC8NN0168_MO_BSS_InterestExpense</vt:lpstr>
      <vt:lpstr>z_NVC8NN0168_MO_BSS_InterestIncome</vt:lpstr>
      <vt:lpstr>z_NVC8NN0168_MO_BSS_LTDebt</vt:lpstr>
      <vt:lpstr>z_NVC8NN0168_MO_BSS_NetDebt</vt:lpstr>
      <vt:lpstr>z_NVC8NN0168_MO_BSS_NetInterestExpenseIncome</vt:lpstr>
      <vt:lpstr>z_NVC8NN0168_MO_BSS_OperatingLeaseLiabilities</vt:lpstr>
      <vt:lpstr>z_NVC8NN0168_MO_BSS_STDebt</vt:lpstr>
      <vt:lpstr>z_NVC8NN0168_MO_CCFS_accountspayable</vt:lpstr>
      <vt:lpstr>z_NVC8NN0168_MO_CCFS_accruedexpenses</vt:lpstr>
      <vt:lpstr>z_NVC8NN0168_MO_CCFS_AcquisitionofDVDcontentlibrary</vt:lpstr>
      <vt:lpstr>z_NVC8NN0168_MO_CCFS_Acquisitionsofintangibleassets</vt:lpstr>
      <vt:lpstr>z_NVC8NN0168_MO_CCFS_additionstostreamingcontentlibrary</vt:lpstr>
      <vt:lpstr>z_NVC8NN0168_MO_CCFS_amortizationofdvdcontentlibrary</vt:lpstr>
      <vt:lpstr>z_NVC8NN0168_MO_CCFS_amortizationofstreamingcontentlibrary</vt:lpstr>
      <vt:lpstr>z_NVC8NN0168_MO_CCFS_BeginningCashBalance</vt:lpstr>
      <vt:lpstr>z_NVC8NN0168_MO_CCFS_borrowingsonlineofcredit</vt:lpstr>
      <vt:lpstr>z_NVC8NN0168_MO_CCFS_Cashpaidinbusinessacquisition</vt:lpstr>
      <vt:lpstr>z_NVC8NN0168_MO_CCFS_CFF</vt:lpstr>
      <vt:lpstr>z_NVC8NN0168_MO_CCFS_CFI</vt:lpstr>
      <vt:lpstr>z_NVC8NN0168_MO_CCFS_CFO</vt:lpstr>
      <vt:lpstr>z_NVC8NN0168_MO_CCFS_CFObeforeWC</vt:lpstr>
      <vt:lpstr>z_NVC8NN0168_MO_CCFS_changeinstreamingcontentliabilities</vt:lpstr>
      <vt:lpstr>z_NVC8NN0168_MO_CCFS_Debtissuancecosts</vt:lpstr>
      <vt:lpstr>z_NVC8NN0168_MO_CCFS_deferredrevenue</vt:lpstr>
      <vt:lpstr>z_NVC8NN0168_MO_CCFS_deferredtaxes</vt:lpstr>
      <vt:lpstr>z_NVC8NN0168_MO_CCFS_depreciationandamortizationofproperty</vt:lpstr>
      <vt:lpstr>z_NVC8NN0168_MO_CCFS_Dividendpaidtocommonshareholders</vt:lpstr>
      <vt:lpstr>z_NVC8NN0168_MO_CCFS_EndingCashBalance</vt:lpstr>
      <vt:lpstr>z_NVC8NN0168_MO_CCFS_excesstaxbenefitsfromstockbasedcompensation</vt:lpstr>
      <vt:lpstr>z_NVC8NN0168_MO_CCFS_excesstaxbenefitsfromstockbasedcompensation_1</vt:lpstr>
      <vt:lpstr>z_NVC8NN0168_MO_CCFS_Foreigncurrencyremeasurementlossonlongtermdebt</vt:lpstr>
      <vt:lpstr>z_NVC8NN0168_MO_CCFS_FX</vt:lpstr>
      <vt:lpstr>z_NVC8NN0168_MO_CCFS_gainonsaleofbusiness</vt:lpstr>
      <vt:lpstr>z_NVC8NN0168_MO_CCFS_issuancecosts</vt:lpstr>
      <vt:lpstr>z_NVC8NN0168_MO_CCFS_Lossonextinguishmentofdebt</vt:lpstr>
      <vt:lpstr>z_NVC8NN0168_MO_CCFS_NetCFF</vt:lpstr>
      <vt:lpstr>z_NVC8NN0168_MO_CCFS_NetCFI</vt:lpstr>
      <vt:lpstr>z_NVC8NN0168_MO_CCFS_NetCFO</vt:lpstr>
      <vt:lpstr>z_NVC8NN0168_MO_CCFS_NetChangeinCashBalance</vt:lpstr>
      <vt:lpstr>z_NVC8NN0168_MO_CCFS_netincome</vt:lpstr>
      <vt:lpstr>z_NVC8NN0168_MO_CCFS_Otherassets</vt:lpstr>
      <vt:lpstr>z_NVC8NN0168_MO_CCFS_Othercurrentassets</vt:lpstr>
      <vt:lpstr>z_NVC8NN0168_MO_CCFS_Otherfinancingactivities</vt:lpstr>
      <vt:lpstr>z_NVC8NN0168_MO_CCFS_Othernoncashitems</vt:lpstr>
      <vt:lpstr>z_NVC8NN0168_MO_CCFS_Othernoncurrentassetsandliabilities</vt:lpstr>
      <vt:lpstr>z_NVC8NN0168_MO_CCFS_paymentsonlineofcredit</vt:lpstr>
      <vt:lpstr>z_NVC8NN0168_MO_CCFS_prepaidcontent</vt:lpstr>
      <vt:lpstr>z_NVC8NN0168_MO_CCFS_principalpaymentsofleasefinancingobligations</vt:lpstr>
      <vt:lpstr>z_NVC8NN0168_MO_CCFS_proceedsfromissuanceofcommonstock</vt:lpstr>
      <vt:lpstr>z_NVC8NN0168_MO_CCFS_proceedsfromissuanceofcommonstockuponexerciseofoptions</vt:lpstr>
      <vt:lpstr>z_NVC8NN0168_MO_CCFS_Proceedsfromissuanceofdebt</vt:lpstr>
      <vt:lpstr>z_NVC8NN0168_MO_CCFS_proceedsfrommaturitiesofshortterminvestments</vt:lpstr>
      <vt:lpstr>z_NVC8NN0168_MO_CCFS_proceedsfrompublicofferingofcommonstock</vt:lpstr>
      <vt:lpstr>z_NVC8NN0168_MO_CCFS_proceedsfromsaleofbusiness</vt:lpstr>
      <vt:lpstr>z_NVC8NN0168_MO_CCFS_proceedsfromsaleofdvds</vt:lpstr>
      <vt:lpstr>z_NVC8NN0168_MO_CCFS_proceedsfromsaleofshortterminvestments</vt:lpstr>
      <vt:lpstr>z_NVC8NN0168_MO_CCFS_purchasesofpropertyandequipment</vt:lpstr>
      <vt:lpstr>z_NVC8NN0168_MO_CCFS_purchasesofshortterminvestments</vt:lpstr>
      <vt:lpstr>z_NVC8NN0168_MO_CCFS_Redemptionofdebt</vt:lpstr>
      <vt:lpstr>z_NVC8NN0168_MO_CCFS_Repurchasesofcommonstock</vt:lpstr>
      <vt:lpstr>z_NVC8NN0168_MO_CCFS_stockbasedcompensationexpense</vt:lpstr>
      <vt:lpstr>z_NVC8NN0168_MO_CFS_accountspayable</vt:lpstr>
      <vt:lpstr>z_NVC8NN0168_MO_CFS_accruedexpenses</vt:lpstr>
      <vt:lpstr>z_NVC8NN0168_MO_CFS_AcquisitionofDVDcontentlibrary</vt:lpstr>
      <vt:lpstr>z_NVC8NN0168_MO_CFS_Acquisitionsofintangibleassets</vt:lpstr>
      <vt:lpstr>z_NVC8NN0168_MO_CFS_additionstostreamingcontentlibrary</vt:lpstr>
      <vt:lpstr>z_NVC8NN0168_MO_CFS_amortizationofdvdcontentlibrary</vt:lpstr>
      <vt:lpstr>z_NVC8NN0168_MO_CFS_amortizationofstreamingcontentlibrary</vt:lpstr>
      <vt:lpstr>z_NVC8NN0168_MO_CFS_BeginningCashBalance</vt:lpstr>
      <vt:lpstr>z_NVC8NN0168_MO_CFS_borrowingsonlineofcredit</vt:lpstr>
      <vt:lpstr>z_NVC8NN0168_MO_CFS_Cashpaidinbusinessacquisition</vt:lpstr>
      <vt:lpstr>z_NVC8NN0168_MO_CFS_CFCheck</vt:lpstr>
      <vt:lpstr>z_NVC8NN0168_MO_CFS_CFF</vt:lpstr>
      <vt:lpstr>z_NVC8NN0168_MO_CFS_CFI</vt:lpstr>
      <vt:lpstr>z_NVC8NN0168_MO_CFS_CFO</vt:lpstr>
      <vt:lpstr>z_NVC8NN0168_MO_CFS_CFObeforeWC</vt:lpstr>
      <vt:lpstr>z_NVC8NN0168_MO_CFS_changeinstreamingcontentliabilities</vt:lpstr>
      <vt:lpstr>z_NVC8NN0168_MO_CFS_Debtissuancecosts</vt:lpstr>
      <vt:lpstr>z_NVC8NN0168_MO_CFS_deferredrevenue</vt:lpstr>
      <vt:lpstr>z_NVC8NN0168_MO_CFS_deferredtaxes</vt:lpstr>
      <vt:lpstr>z_NVC8NN0168_MO_CFS_depreciationandamortizationofproperty</vt:lpstr>
      <vt:lpstr>z_NVC8NN0168_MO_CFS_Dividendpaidtocommonshareholders</vt:lpstr>
      <vt:lpstr>z_NVC8NN0168_MO_CFS_EndingCashBalance</vt:lpstr>
      <vt:lpstr>z_NVC8NN0168_MO_CFS_excesstaxbenefitsfromstockbasedcompensation</vt:lpstr>
      <vt:lpstr>z_NVC8NN0168_MO_CFS_excesstaxbenefitsfromstockbasedcompensation_1</vt:lpstr>
      <vt:lpstr>z_NVC8NN0168_MO_CFS_Foreigncurrencyremeasurementlossonlongtermdebt</vt:lpstr>
      <vt:lpstr>z_NVC8NN0168_MO_CFS_FX</vt:lpstr>
      <vt:lpstr>z_NVC8NN0168_MO_CFS_gainonsaleofbusiness</vt:lpstr>
      <vt:lpstr>z_NVC8NN0168_MO_CFS_issuancecosts</vt:lpstr>
      <vt:lpstr>z_NVC8NN0168_MO_CFS_Lossonextinguishmentofdebt</vt:lpstr>
      <vt:lpstr>z_NVC8NN0168_MO_CFS_NetCFF</vt:lpstr>
      <vt:lpstr>z_NVC8NN0168_MO_CFS_NetCFI</vt:lpstr>
      <vt:lpstr>z_NVC8NN0168_MO_CFS_NetCFO</vt:lpstr>
      <vt:lpstr>z_NVC8NN0168_MO_CFS_NetChangeinCashBalance</vt:lpstr>
      <vt:lpstr>z_NVC8NN0168_MO_CFS_netincome</vt:lpstr>
      <vt:lpstr>z_NVC8NN0168_MO_CFS_Otherassets</vt:lpstr>
      <vt:lpstr>z_NVC8NN0168_MO_CFS_Othercurrentassets</vt:lpstr>
      <vt:lpstr>z_NVC8NN0168_MO_CFS_Otherfinancingactivities</vt:lpstr>
      <vt:lpstr>z_NVC8NN0168_MO_CFS_Othernoncashitems</vt:lpstr>
      <vt:lpstr>z_NVC8NN0168_MO_CFS_Othernoncurrentassetsandliabilities</vt:lpstr>
      <vt:lpstr>z_NVC8NN0168_MO_CFS_paymentsonlineofcredit</vt:lpstr>
      <vt:lpstr>z_NVC8NN0168_MO_CFS_prepaidcontent</vt:lpstr>
      <vt:lpstr>z_NVC8NN0168_MO_CFS_principalpaymentsofleasefinancingobligations</vt:lpstr>
      <vt:lpstr>z_NVC8NN0168_MO_CFS_proceedsfromissuanceofcommonstock</vt:lpstr>
      <vt:lpstr>z_NVC8NN0168_MO_CFS_proceedsfromissuanceofcommonstockuponexerciseofoptions</vt:lpstr>
      <vt:lpstr>z_NVC8NN0168_MO_CFS_Proceedsfromissuanceofdebt</vt:lpstr>
      <vt:lpstr>z_NVC8NN0168_MO_CFS_proceedsfrommaturitiesofshortterminvestments</vt:lpstr>
      <vt:lpstr>z_NVC8NN0168_MO_CFS_proceedsfrompublicofferingofcommonstock</vt:lpstr>
      <vt:lpstr>z_NVC8NN0168_MO_CFS_proceedsfromsaleofbusiness</vt:lpstr>
      <vt:lpstr>z_NVC8NN0168_MO_CFS_proceedsfromsaleofdvds</vt:lpstr>
      <vt:lpstr>z_NVC8NN0168_MO_CFS_proceedsfromsaleofshortterminvestments</vt:lpstr>
      <vt:lpstr>z_NVC8NN0168_MO_CFS_purchasesofpropertyandequipment</vt:lpstr>
      <vt:lpstr>z_NVC8NN0168_MO_CFS_purchasesofshortterminvestments</vt:lpstr>
      <vt:lpstr>z_NVC8NN0168_MO_CFS_Redemptionofdebt</vt:lpstr>
      <vt:lpstr>z_NVC8NN0168_MO_CFS_Repurchasesofcommonstock</vt:lpstr>
      <vt:lpstr>z_NVC8NN0168_MO_CFS_stockbasedcompensationexpense</vt:lpstr>
      <vt:lpstr>z_NVC8NN0168_MO_CFSum_Acquisitions</vt:lpstr>
      <vt:lpstr>z_NVC8NN0168_MO_CFSum_Capex</vt:lpstr>
      <vt:lpstr>z_NVC8NN0168_MO_CFSum_CashFlowPerDilutedShare</vt:lpstr>
      <vt:lpstr>z_NVC8NN0168_MO_CFSum_ConsensusEstimatesCapex</vt:lpstr>
      <vt:lpstr>z_NVC8NN0168_MO_CFSum_consensusestimatescashflowperdilutedshare</vt:lpstr>
      <vt:lpstr>z_NVC8NN0168_MO_CFSum_Divestiture</vt:lpstr>
      <vt:lpstr>z_NVC8NN0168_MO_CFSum_DividendPaid</vt:lpstr>
      <vt:lpstr>z_NVC8NN0168_MO_CFSum_DividendPerShare</vt:lpstr>
      <vt:lpstr>z_NVC8NN0168_MO_CFSum_EstimatedSharePriceforIssuanceBuybacks</vt:lpstr>
      <vt:lpstr>z_NVC8NN0168_MO_CFSum_FCF</vt:lpstr>
      <vt:lpstr>z_NVC8NN0168_MO_CFSum_FCF_1</vt:lpstr>
      <vt:lpstr>z_NVC8NN0168_MO_CFSum_FCF_2</vt:lpstr>
      <vt:lpstr>z_NVC8NN0168_MO_CFSum_FCFPostDivDebtBuyback</vt:lpstr>
      <vt:lpstr>z_NVC8NN0168_MO_CFSum_NetDebtIssuanceRepayment</vt:lpstr>
      <vt:lpstr>z_NVC8NN0168_MO_CFSum_NetShareIssuanceBuybacks</vt:lpstr>
      <vt:lpstr>z_NVC8NN0168_MO_CFSum_OperatingCashFlowbeforeWC</vt:lpstr>
      <vt:lpstr>z_NVC8NN0168_MO_CFSum_SBCexpense</vt:lpstr>
      <vt:lpstr>z_NVC8NN0168_MO_CFSum_SBCexpenseasofrevenue</vt:lpstr>
      <vt:lpstr>z_NVC8NN0168_MO_Checks_SNA_AdjustedNumbersFYSumofQs</vt:lpstr>
      <vt:lpstr>z_NVC8NN0168_MO_Checks_SNA_BalanceSheetisnotRepeated</vt:lpstr>
      <vt:lpstr>z_NVC8NN0168_MO_Checks_SNA_CapexisUpdated</vt:lpstr>
      <vt:lpstr>z_NVC8NN0168_MO_Checks_SNA_CashFlowisnotRepeated</vt:lpstr>
      <vt:lpstr>z_NVC8NN0168_MO_Checks_SNA_CashFlowSummarySignsareCorrect</vt:lpstr>
      <vt:lpstr>z_NVC8NN0168_MO_Checks_SNA_CashisPositive</vt:lpstr>
      <vt:lpstr>z_NVC8NN0168_MO_Checks_SNA_CFFsubtotalFYSumofQs</vt:lpstr>
      <vt:lpstr>z_NVC8NN0168_MO_Checks_SNA_CFIsubtotalFYSumofQs</vt:lpstr>
      <vt:lpstr>z_NVC8NN0168_MO_Checks_SNA_CFOBeforeWCsubtotalFYSumofQs</vt:lpstr>
      <vt:lpstr>z_NVC8NN0168_MO_Checks_SNA_CFOsubtotalFYSumofQs</vt:lpstr>
      <vt:lpstr>z_NVC8NN0168_MO_Checks_SNA_CFSummaryFYSumofQs</vt:lpstr>
      <vt:lpstr>z_NVC8NN0168_MO_Checks_SNA_DebtisPositive</vt:lpstr>
      <vt:lpstr>z_NVC8NN0168_MO_Checks_SNA_EndingCFEndingCumulativeCF</vt:lpstr>
      <vt:lpstr>z_NVC8NN0168_MO_Checks_SNA_IncomeStatementisnotRepeated</vt:lpstr>
      <vt:lpstr>z_NVC8NN0168_MO_Checks_SNA_MarginisUpdated</vt:lpstr>
      <vt:lpstr>z_NVC8NN0168_MO_Checks_SNA_NetIncomeonReportedISNIonRevised</vt:lpstr>
      <vt:lpstr>z_NVC8NN0168_MO_Checks_SNA_NetIncomeonRevisedISNIonCFstatement</vt:lpstr>
      <vt:lpstr>z_NVC8NN0168_MO_Checks_SNA_RISAdjustedNIFYSumofQs</vt:lpstr>
      <vt:lpstr>z_NVC8NN0168_MO_Checks_SNA_RISNIFYSumofQs</vt:lpstr>
      <vt:lpstr>z_NVC8NN0168_MO_Checks_SNA_SegmentedRevenueRevenue</vt:lpstr>
      <vt:lpstr>z_NVC8NN0168_MO_DAF_AmortizationaspercentageofIntangiblesBoP</vt:lpstr>
      <vt:lpstr>z_NVC8NN0168_MO_DAF_Amortizationofintangibles</vt:lpstr>
      <vt:lpstr>z_NVC8NN0168_MO_DAF_Capexofintangibles</vt:lpstr>
      <vt:lpstr>z_NVC8NN0168_MO_DAF_CapexofPPE</vt:lpstr>
      <vt:lpstr>z_NVC8NN0168_MO_DAF_DepreciationaspercentageofPPEBoP</vt:lpstr>
      <vt:lpstr>z_NVC8NN0168_MO_DAF_Depreciationoffixedassets</vt:lpstr>
      <vt:lpstr>z_NVC8NN0168_MO_DAF_Impliedlifeoffixedassets</vt:lpstr>
      <vt:lpstr>z_NVC8NN0168_MO_DAF_Impliedlifeofintangibles</vt:lpstr>
      <vt:lpstr>z_NVC8NN0168_MO_DAF_IntangiblesBoP</vt:lpstr>
      <vt:lpstr>z_NVC8NN0168_MO_DAF_IntangiblesEoP</vt:lpstr>
      <vt:lpstr>z_NVC8NN0168_MO_DAF_Othernetadditionstointangibles</vt:lpstr>
      <vt:lpstr>z_NVC8NN0168_MO_DAF_OthernetadditionstoPPE</vt:lpstr>
      <vt:lpstr>z_NVC8NN0168_MO_DAF_Percentageofcapexallocatedtointangibleassets</vt:lpstr>
      <vt:lpstr>z_NVC8NN0168_MO_DAF_PPEBoP</vt:lpstr>
      <vt:lpstr>z_NVC8NN0168_MO_DAF_PPEEoP</vt:lpstr>
      <vt:lpstr>z_NVC8NN0168_MO_DAF_TotalCapex</vt:lpstr>
      <vt:lpstr>z_NVC8NN0168_MO_DAF_TotalDA</vt:lpstr>
      <vt:lpstr>z_NVC8NN0168_MO_GA_AsiaPacificEOPPaidStreamingMembershipGrowth</vt:lpstr>
      <vt:lpstr>z_NVC8NN0168_MO_GA_AsiaPacificStreamingARPUGrowth</vt:lpstr>
      <vt:lpstr>z_NVC8NN0168_MO_GA_AsiaPacificStreamingRevenueGrowth</vt:lpstr>
      <vt:lpstr>z_NVC8NN0168_MO_GA_CalculatedCanadaEOPPaidStreamingMembershipGrowth</vt:lpstr>
      <vt:lpstr>z_NVC8NN0168_MO_GA_CalculatedCanadaStreamingARPUGrowth</vt:lpstr>
      <vt:lpstr>z_NVC8NN0168_MO_GA_CalculatedCanadaStreamingRevenueGrowth</vt:lpstr>
      <vt:lpstr>z_NVC8NN0168_MO_GA_EuropeMiddleEastAfricaEOPPaidStreamingMembershipGrowth</vt:lpstr>
      <vt:lpstr>z_NVC8NN0168_MO_GA_EuropeMiddleEastAfricaStreamingARPUGrowth</vt:lpstr>
      <vt:lpstr>z_NVC8NN0168_MO_GA_EuropeMiddleEastAfricaStreamingRevenueGrowth</vt:lpstr>
      <vt:lpstr>z_NVC8NN0168_MO_GA_LatinAmericaEOPPaidStreamingMembershipGrowth</vt:lpstr>
      <vt:lpstr>z_NVC8NN0168_MO_GA_LatinAmericaStreamingARPUGrowth</vt:lpstr>
      <vt:lpstr>z_NVC8NN0168_MO_GA_LatinAmericaStreamingRevenueGrowth</vt:lpstr>
      <vt:lpstr>z_NVC8NN0168_MO_GA_TotalEOPPaidStreamingMembershipGrowth</vt:lpstr>
      <vt:lpstr>z_NVC8NN0168_MO_GA_TotalStreamingARPUGrowth</vt:lpstr>
      <vt:lpstr>z_NVC8NN0168_MO_GA_TotalStreamingRevenueGrowth</vt:lpstr>
      <vt:lpstr>z_NVC8NN0168_MO_GA_UnitedStatesCanadaEOPPaidStreamingMembershipGrowth</vt:lpstr>
      <vt:lpstr>z_NVC8NN0168_MO_GA_UnitedStatesCanadaStreamingARPUGrowth</vt:lpstr>
      <vt:lpstr>z_NVC8NN0168_MO_GA_UnitedStatesCanadaStreamingRevenueGrowth</vt:lpstr>
      <vt:lpstr>z_NVC8NN0168_MO_GA_UnitedStatesDVDARPUGrowth</vt:lpstr>
      <vt:lpstr>z_NVC8NN0168_MO_GA_UnitedStatesDVDRevenueGrowth</vt:lpstr>
      <vt:lpstr>z_NVC8NN0168_MO_GA_UnitedStatesEOPPaidStreamingMembershipGrowth</vt:lpstr>
      <vt:lpstr>z_NVC8NN0168_MO_GA_UnitedStatesStreamingARPUGrowth</vt:lpstr>
      <vt:lpstr>z_NVC8NN0168_MO_GA_UnitedStatesStreamingRevenueGrowth</vt:lpstr>
      <vt:lpstr>z_NVC8NN0168_MO_Header_ColumnHeader</vt:lpstr>
      <vt:lpstr>z_NVC8NN0168_MO_Header_CompanySubTitle</vt:lpstr>
      <vt:lpstr>z_NVC8NN0168_MO_Header_CompanyTitle</vt:lpstr>
      <vt:lpstr>z_NVC8NN0168_MO_Header_FPDays</vt:lpstr>
      <vt:lpstr>z_NVC8NN0168_MO_Header_HeaderRow</vt:lpstr>
      <vt:lpstr>z_NVC8NN0168_MO_Header_HeaderRow_1</vt:lpstr>
      <vt:lpstr>z_NVC8NN0168_MO_Header_HeaderRow_2</vt:lpstr>
      <vt:lpstr>z_NVC8NN0168_MO_Header_HeaderRow_3</vt:lpstr>
      <vt:lpstr>z_NVC8NN0168_MO_Header_HeaderRow_4</vt:lpstr>
      <vt:lpstr>z_NVC8NN0168_MO_Header_QEndDate</vt:lpstr>
      <vt:lpstr>z_NVC8NN0168_MO_IS_costofrevenues</vt:lpstr>
      <vt:lpstr>z_NVC8NN0168_MO_IS_fulfillmentexpenses</vt:lpstr>
      <vt:lpstr>z_NVC8NN0168_MO_IS_generalandadministrative</vt:lpstr>
      <vt:lpstr>z_NVC8NN0168_MO_IS_grossprofit</vt:lpstr>
      <vt:lpstr>z_NVC8NN0168_MO_IS_incomebeforeincometaxes</vt:lpstr>
      <vt:lpstr>z_NVC8NN0168_MO_IS_Interestandotherincomeexpense</vt:lpstr>
      <vt:lpstr>z_NVC8NN0168_MO_IS_interestexpense</vt:lpstr>
      <vt:lpstr>z_NVC8NN0168_MO_IS_ISCheck</vt:lpstr>
      <vt:lpstr>z_NVC8NN0168_MO_IS_Lossonextinguishmentofdebt</vt:lpstr>
      <vt:lpstr>z_NVC8NN0168_MO_IS_marketing</vt:lpstr>
      <vt:lpstr>z_NVC8NN0168_MO_IS_netincome</vt:lpstr>
      <vt:lpstr>z_NVC8NN0168_MO_IS_operatingincome</vt:lpstr>
      <vt:lpstr>z_NVC8NN0168_MO_IS_provisionforincometaxes</vt:lpstr>
      <vt:lpstr>z_NVC8NN0168_MO_IS_revenues</vt:lpstr>
      <vt:lpstr>z_NVC8NN0168_MO_IS_subscription</vt:lpstr>
      <vt:lpstr>z_NVC8NN0168_MO_IS_technologyanddevelopment</vt:lpstr>
      <vt:lpstr>z_NVC8NN0168_MO_IS_totaloperatingexpenses</vt:lpstr>
      <vt:lpstr>z_NVC8NN0168_MO_MA_AddbackDAMargin</vt:lpstr>
      <vt:lpstr>z_NVC8NN0168_MO_MA_AddbackSBCMargin</vt:lpstr>
      <vt:lpstr>z_NVC8NN0168_MO_MA_AdjustedEBITDAMargin</vt:lpstr>
      <vt:lpstr>z_NVC8NN0168_MO_MA_AdjustedEBITMargin</vt:lpstr>
      <vt:lpstr>z_NVC8NN0168_MO_MA_AverageFXRate</vt:lpstr>
      <vt:lpstr>z_NVC8NN0168_MO_MA_COGSMargin_3</vt:lpstr>
      <vt:lpstr>z_NVC8NN0168_MO_MA_consensusestimatesadjustedebitdamargin</vt:lpstr>
      <vt:lpstr>z_NVC8NN0168_MO_MA_ConsensusEstimatesAdjustedEBITMargin</vt:lpstr>
      <vt:lpstr>z_NVC8NN0168_MO_MA_consensusestimatesgrossmargin</vt:lpstr>
      <vt:lpstr>z_NVC8NN0168_MO_MA_domesticdvdcogs</vt:lpstr>
      <vt:lpstr>z_NVC8NN0168_MO_MA_domesticdvdmarketing</vt:lpstr>
      <vt:lpstr>z_NVC8NN0168_MO_MA_domesticstreamingcogs</vt:lpstr>
      <vt:lpstr>z_NVC8NN0168_MO_MA_domesticstreamingmarketing</vt:lpstr>
      <vt:lpstr>z_NVC8NN0168_MO_MA_EBITDAMargin</vt:lpstr>
      <vt:lpstr>z_NVC8NN0168_MO_MA_EBITMargin</vt:lpstr>
      <vt:lpstr>z_NVC8NN0168_MO_MA_GAMargin</vt:lpstr>
      <vt:lpstr>z_NVC8NN0168_MO_MA_GrossMargin_3</vt:lpstr>
      <vt:lpstr>z_NVC8NN0168_MO_MA_internationalstreamingcogs</vt:lpstr>
      <vt:lpstr>z_NVC8NN0168_MO_MA_internationalstreamingmarketing</vt:lpstr>
      <vt:lpstr>z_NVC8NN0168_MO_MA_RDMargin</vt:lpstr>
      <vt:lpstr>z_NVC8NN0168_MO_MA_SMMargin</vt:lpstr>
      <vt:lpstr>z_NVC8NN0168_MO_MA_StockPriceTradingCurAvg</vt:lpstr>
      <vt:lpstr>z_NVC8NN0168_MO_OS__303</vt:lpstr>
      <vt:lpstr>z_NVC8NN0168_MO_OS__52</vt:lpstr>
      <vt:lpstr>z_NVC8NN0168_MO_OS_Accountspayable</vt:lpstr>
      <vt:lpstr>z_NVC8NN0168_MO_OS_AccountspayableYYChange</vt:lpstr>
      <vt:lpstr>z_NVC8NN0168_MO_OS_Accruedexpenses</vt:lpstr>
      <vt:lpstr>z_NVC8NN0168_MO_OS_AccruedexpensesYYChange</vt:lpstr>
      <vt:lpstr>z_NVC8NN0168_MO_OS_additionstocontentlibrary</vt:lpstr>
      <vt:lpstr>z_NVC8NN0168_MO_OS_amortizationofcontentlibrary</vt:lpstr>
      <vt:lpstr>z_NVC8NN0168_MO_OS_Amortizationofcontentlibrary_1</vt:lpstr>
      <vt:lpstr>z_NVC8NN0168_MO_OS_AsiaPacificAveragePayingMemberships</vt:lpstr>
      <vt:lpstr>z_NVC8NN0168_MO_OS_AsiaPacificemployees</vt:lpstr>
      <vt:lpstr>z_NVC8NN0168_MO_OS_AsiaPacificEOPpaidstreamingmemberships</vt:lpstr>
      <vt:lpstr>z_NVC8NN0168_MO_OS_AsiaPacificEOPPaidStreamingMemberships_1</vt:lpstr>
      <vt:lpstr>z_NVC8NN0168_MO_OS_AsiaPacificEOPPaidStreamingMembershipsmix</vt:lpstr>
      <vt:lpstr>z_NVC8NN0168_MO_OS_AsiaPacificpaidstreamingmembershipsnetadditions</vt:lpstr>
      <vt:lpstr>z_NVC8NN0168_MO_OS_AsiaPacificPaidStreamingMembershipsNetAdditions_1</vt:lpstr>
      <vt:lpstr>z_NVC8NN0168_MO_OS_AsiaPacificPaidStreamingMembershipsNetAdditionsMix</vt:lpstr>
      <vt:lpstr>z_NVC8NN0168_MO_OS_AsiaPacificStreamingARPU</vt:lpstr>
      <vt:lpstr>z_NVC8NN0168_MO_OS_AsiaPacificStreamingARPU_1</vt:lpstr>
      <vt:lpstr>z_NVC8NN0168_MO_OS_AsiaPacificStreamingRevenue</vt:lpstr>
      <vt:lpstr>z_NVC8NN0168_MO_OS_AsiaPacificStreamingRevenue_1</vt:lpstr>
      <vt:lpstr>z_NVC8NN0168_MO_OS_AsiaPacificStreamingRevenueMix</vt:lpstr>
      <vt:lpstr>z_NVC8NN0168_MO_OS_AverageDomesticPaidStreamingMembershipsinperiod</vt:lpstr>
      <vt:lpstr>z_NVC8NN0168_MO_OS_AverageDomesticPaidStreamingMembershipsinperiod_1</vt:lpstr>
      <vt:lpstr>z_NVC8NN0168_MO_OS_AverageInternationalPaidStreamingMembershipsinperiod</vt:lpstr>
      <vt:lpstr>z_NVC8NN0168_MO_OS_BoPAsiaPacificPaidStreamingMemberships</vt:lpstr>
      <vt:lpstr>z_NVC8NN0168_MO_OS_BoPEMEAPaidStreamingMemberships</vt:lpstr>
      <vt:lpstr>z_NVC8NN0168_MO_OS_BoPLatinAmericaPaidStreamingMemberships</vt:lpstr>
      <vt:lpstr>z_NVC8NN0168_MO_OS_BoPTotalGlobalPaidStreamingMemberships</vt:lpstr>
      <vt:lpstr>z_NVC8NN0168_MO_OS_BoPUnitedStatesCanadaPaidStreamingMemberships</vt:lpstr>
      <vt:lpstr>z_NVC8NN0168_MO_OS_BroadcastasofTVtime</vt:lpstr>
      <vt:lpstr>z_NVC8NN0168_MO_OS_CableasofTVtime</vt:lpstr>
      <vt:lpstr>z_NVC8NN0168_MO_OS_CalculatedCanadaEOPpaidstreamingmemberships</vt:lpstr>
      <vt:lpstr>z_NVC8NN0168_MO_OS_CalculatedCanadaEOPpaidstreamingmemberships_1</vt:lpstr>
      <vt:lpstr>z_NVC8NN0168_MO_OS_CalculatedCanadaEOPpaidstreamingmembershipsmix</vt:lpstr>
      <vt:lpstr>z_NVC8NN0168_MO_OS_CalculatedCanadaStreamingARPU</vt:lpstr>
      <vt:lpstr>z_NVC8NN0168_MO_OS_CalculatedCanadaStreamingARPU_1</vt:lpstr>
      <vt:lpstr>z_NVC8NN0168_MO_OS_CalculatedCanadaStreamingRevenue</vt:lpstr>
      <vt:lpstr>z_NVC8NN0168_MO_OS_CalculatedCanadastreamingrevenue_1</vt:lpstr>
      <vt:lpstr>z_NVC8NN0168_MO_OS_CalculatedCanadastreamingrevenuemix</vt:lpstr>
      <vt:lpstr>z_NVC8NN0168_MO_OS_Canadapaidstreamingmembershipsnetadditions</vt:lpstr>
      <vt:lpstr>z_NVC8NN0168_MO_OS_Canadapaidstreamingmembershipsnetadditions_1</vt:lpstr>
      <vt:lpstr>z_NVC8NN0168_MO_OS_Canadapaidstreamingmembershipsnetadditionsmix</vt:lpstr>
      <vt:lpstr>z_NVC8NN0168_MO_OS_COGSChangeDiscrepancy</vt:lpstr>
      <vt:lpstr>z_NVC8NN0168_MO_OS_COGSChangeinacquisitionlicensingandproductionofcontent</vt:lpstr>
      <vt:lpstr>z_NVC8NN0168_MO_OS_COGSChangeinContentamortization</vt:lpstr>
      <vt:lpstr>z_NVC8NN0168_MO_OS_COGSChangeinincrementalcontentcostsduetopausedproductionandhardshipfundcommitmentsduetoCOVID19</vt:lpstr>
      <vt:lpstr>z_NVC8NN0168_MO_OS_COGSChangeinOthercosts</vt:lpstr>
      <vt:lpstr>z_NVC8NN0168_MO_OS_COGSChangeinstreamingdeliverycostsandpaymentprocessingfees</vt:lpstr>
      <vt:lpstr>z_NVC8NN0168_MO_OS_ConsensusEstimatesGrossMargin</vt:lpstr>
      <vt:lpstr>z_NVC8NN0168_MO_OS_ConsensusEstimatesNetRevenue</vt:lpstr>
      <vt:lpstr>z_NVC8NN0168_MO_OS_Constantcurrencychangeascomparedtoprioryearperiod</vt:lpstr>
      <vt:lpstr>z_NVC8NN0168_MO_OS_Constantcurrencychangeascomparedtoprioryearperiod_1</vt:lpstr>
      <vt:lpstr>z_NVC8NN0168_MO_OS_Constantcurrencychangeascomparedtoprioryearperiod_2</vt:lpstr>
      <vt:lpstr>z_NVC8NN0168_MO_OS_Constantcurrencychangeascomparedtoprioryearperiod_3</vt:lpstr>
      <vt:lpstr>z_NVC8NN0168_MO_OS_Constantcurrencyrevenue</vt:lpstr>
      <vt:lpstr>z_NVC8NN0168_MO_OS_contentlibrarybop</vt:lpstr>
      <vt:lpstr>z_NVC8NN0168_MO_OS_contentlibraryeop</vt:lpstr>
      <vt:lpstr>z_NVC8NN0168_MO_OS_CurrentCOGS</vt:lpstr>
      <vt:lpstr>z_NVC8NN0168_MO_OS_Currentcontentliabilities</vt:lpstr>
      <vt:lpstr>z_NVC8NN0168_MO_OS_CurrentDomesticCOGS</vt:lpstr>
      <vt:lpstr>z_NVC8NN0168_MO_OS_CurrentGA</vt:lpstr>
      <vt:lpstr>z_NVC8NN0168_MO_OS_CurrentInternationalCOGS</vt:lpstr>
      <vt:lpstr>z_NVC8NN0168_MO_OS_CurrentMarketing</vt:lpstr>
      <vt:lpstr>z_NVC8NN0168_MO_OS_CurrentTechnologyandDevelopment</vt:lpstr>
      <vt:lpstr>z_NVC8NN0168_MO_OS_Deferredrevenue</vt:lpstr>
      <vt:lpstr>z_NVC8NN0168_MO_OS_DeferredrevenueYYChange</vt:lpstr>
      <vt:lpstr>z_NVC8NN0168_MO_OS_DisneystreamingasofTVtime</vt:lpstr>
      <vt:lpstr>z_NVC8NN0168_MO_OS_DomesticCOGSChangeinContentamortization</vt:lpstr>
      <vt:lpstr>z_NVC8NN0168_MO_OS_DomesticCOGSChangeinStreamingdeliveryexpenses</vt:lpstr>
      <vt:lpstr>z_NVC8NN0168_MO_OS_DomesticCOGSChangesinOthercosts</vt:lpstr>
      <vt:lpstr>z_NVC8NN0168_MO_OS_DomesticCOGSDiscrepancies</vt:lpstr>
      <vt:lpstr>z_NVC8NN0168_MO_OS_domesticdvdcogs</vt:lpstr>
      <vt:lpstr>z_NVC8NN0168_MO_OS_DomesticDVDfreetrials</vt:lpstr>
      <vt:lpstr>z_NVC8NN0168_MO_OS_domesticdvdmarketingexpense</vt:lpstr>
      <vt:lpstr>z_NVC8NN0168_MO_OS_domesticdvdnetcontribution</vt:lpstr>
      <vt:lpstr>z_NVC8NN0168_MO_OS_DomesticDVDNetContributionmargin</vt:lpstr>
      <vt:lpstr>z_NVC8NN0168_MO_OS_domesticdvdrevenue</vt:lpstr>
      <vt:lpstr>z_NVC8NN0168_MO_OS_domesticdvdrevenuegrowth</vt:lpstr>
      <vt:lpstr>z_NVC8NN0168_MO_OS_Domesticfreetrials</vt:lpstr>
      <vt:lpstr>z_NVC8NN0168_MO_OS_DomesticPaidBOPDVDMemberships</vt:lpstr>
      <vt:lpstr>z_NVC8NN0168_MO_OS_DomesticPaidBOPStreamingMemberships</vt:lpstr>
      <vt:lpstr>z_NVC8NN0168_MO_OS_domesticpaideopdvdmemberships</vt:lpstr>
      <vt:lpstr>z_NVC8NN0168_MO_OS_domesticpaideopstreamingmemberships</vt:lpstr>
      <vt:lpstr>z_NVC8NN0168_MO_OS_domesticstreamingcogs</vt:lpstr>
      <vt:lpstr>z_NVC8NN0168_MO_OS_domesticstreamingmarketingexpense</vt:lpstr>
      <vt:lpstr>z_NVC8NN0168_MO_OS_domesticstreamingnetcontribution</vt:lpstr>
      <vt:lpstr>z_NVC8NN0168_MO_OS_DomesticStreamingNetContributionmargin</vt:lpstr>
      <vt:lpstr>z_NVC8NN0168_MO_OS_domesticstreamingrevenue</vt:lpstr>
      <vt:lpstr>z_NVC8NN0168_MO_OS_domesticstreamingrevenuegrowth</vt:lpstr>
      <vt:lpstr>z_NVC8NN0168_MO_OS_Dueafterfiveyears</vt:lpstr>
      <vt:lpstr>z_NVC8NN0168_MO_OS_Dueafteroneyearandthroughthreeyears</vt:lpstr>
      <vt:lpstr>z_NVC8NN0168_MO_OS_Dueafterthreeyearsandthroughfiveyears</vt:lpstr>
      <vt:lpstr>z_NVC8NN0168_MO_OS_DVD</vt:lpstr>
      <vt:lpstr>z_NVC8NN0168_MO_OS_EBIT</vt:lpstr>
      <vt:lpstr>z_NVC8NN0168_MO_OS_EBITMargin</vt:lpstr>
      <vt:lpstr>z_NVC8NN0168_MO_OS_EMEAAveragePayingMemberships</vt:lpstr>
      <vt:lpstr>z_NVC8NN0168_MO_OS_EMEAemployees</vt:lpstr>
      <vt:lpstr>z_NVC8NN0168_MO_OS_EMEAEOPPaidStreamingMemberships</vt:lpstr>
      <vt:lpstr>z_NVC8NN0168_MO_OS_EMEAEOPPaidStreamingMembershipsmix</vt:lpstr>
      <vt:lpstr>z_NVC8NN0168_MO_OS_EMEAPaidStreamingMembershipsNetAdditions</vt:lpstr>
      <vt:lpstr>z_NVC8NN0168_MO_OS_EMEAPaidStreamingMembershipsNetAdditionsMix</vt:lpstr>
      <vt:lpstr>z_NVC8NN0168_MO_OS_EMEAStreamingARPU</vt:lpstr>
      <vt:lpstr>z_NVC8NN0168_MO_OS_EMEAStreamingRevenue</vt:lpstr>
      <vt:lpstr>z_NVC8NN0168_MO_OS_EMEAStreamingRevenueMix</vt:lpstr>
      <vt:lpstr>z_NVC8NN0168_MO_OS_EuropeMiddleEastAfricaEOPpaidstreamingmemberships</vt:lpstr>
      <vt:lpstr>z_NVC8NN0168_MO_OS_EuropeMiddleEastAfricapaidstreamingmembershipsnetadditions</vt:lpstr>
      <vt:lpstr>z_NVC8NN0168_MO_OS_EuropeMiddleEastAfricaStreamingARPU</vt:lpstr>
      <vt:lpstr>z_NVC8NN0168_MO_OS_EuropeMiddleEastAfricaStreamingRevenue</vt:lpstr>
      <vt:lpstr>z_NVC8NN0168_MO_OS_expectedcontentlibrarylife</vt:lpstr>
      <vt:lpstr>z_NVC8NN0168_MO_OS_FXimpact</vt:lpstr>
      <vt:lpstr>z_NVC8NN0168_MO_OS_GAChangeDiscrepancy</vt:lpstr>
      <vt:lpstr>z_NVC8NN0168_MO_OS_GAChangePersonnelrelatedexpenses</vt:lpstr>
      <vt:lpstr>z_NVC8NN0168_MO_OS_GAChangeThirdpartyexpenses</vt:lpstr>
      <vt:lpstr>z_NVC8NN0168_MO_OS_GAExpense</vt:lpstr>
      <vt:lpstr>z_NVC8NN0168_MO_OS_GAMargin</vt:lpstr>
      <vt:lpstr>z_NVC8NN0168_MO_OS_GlobalStreamingARPU</vt:lpstr>
      <vt:lpstr>z_NVC8NN0168_MO_OS_GrossMargin</vt:lpstr>
      <vt:lpstr>z_NVC8NN0168_MO_OS_GrossProfit</vt:lpstr>
      <vt:lpstr>z_NVC8NN0168_MO_OS_HulustreamingasofTVtime</vt:lpstr>
      <vt:lpstr>z_NVC8NN0168_MO_OS_Indevelopmentandproduction</vt:lpstr>
      <vt:lpstr>z_NVC8NN0168_MO_OS_Inproduction</vt:lpstr>
      <vt:lpstr>z_NVC8NN0168_MO_OS_InternationalCOGSChangeinContentamortization</vt:lpstr>
      <vt:lpstr>z_NVC8NN0168_MO_OS_InternationalCOGSChangesinOthercosts</vt:lpstr>
      <vt:lpstr>z_NVC8NN0168_MO_OS_InternationalCOGSDiscrepancies</vt:lpstr>
      <vt:lpstr>z_NVC8NN0168_MO_OS_InternationalEOPpaidstreamingmemberships</vt:lpstr>
      <vt:lpstr>z_NVC8NN0168_MO_OS_InternationalEOPpaidstreamingmembershipsmix</vt:lpstr>
      <vt:lpstr>z_NVC8NN0168_MO_OS_Internationalfreetrials</vt:lpstr>
      <vt:lpstr>z_NVC8NN0168_MO_OS_InternationalPaidBOPStreamingMemberships</vt:lpstr>
      <vt:lpstr>z_NVC8NN0168_MO_OS_internationalpaideopstreamingmemberships</vt:lpstr>
      <vt:lpstr>z_NVC8NN0168_MO_OS_internationalstreamingcogs</vt:lpstr>
      <vt:lpstr>z_NVC8NN0168_MO_OS_internationalstreamingmarketingexpense</vt:lpstr>
      <vt:lpstr>z_NVC8NN0168_MO_OS_internationalstreamingmonthlyarpu</vt:lpstr>
      <vt:lpstr>z_NVC8NN0168_MO_OS_InternationalStreamingMonthlyARPUGrowth</vt:lpstr>
      <vt:lpstr>z_NVC8NN0168_MO_OS_internationalstreamingnetcontribution</vt:lpstr>
      <vt:lpstr>z_NVC8NN0168_MO_OS_InternationalStreamingNetContributionmargin</vt:lpstr>
      <vt:lpstr>z_NVC8NN0168_MO_OS_internationalstreamingrevenue</vt:lpstr>
      <vt:lpstr>z_NVC8NN0168_MO_OS_InternationalStreamingRevenue_2</vt:lpstr>
      <vt:lpstr>z_NVC8NN0168_MO_OS_internationalstreamingrevenuegrowth</vt:lpstr>
      <vt:lpstr>z_NVC8NN0168_MO_OS_InternationalStreamingRevenueMix</vt:lpstr>
      <vt:lpstr>z_NVC8NN0168_MO_OS_LatinAmericaAveragePayingMemberships</vt:lpstr>
      <vt:lpstr>z_NVC8NN0168_MO_OS_LatinAmericaemployees</vt:lpstr>
      <vt:lpstr>z_NVC8NN0168_MO_OS_LatinAmericaEOPpaidstreamingmemberships</vt:lpstr>
      <vt:lpstr>z_NVC8NN0168_MO_OS_LatinAmericaEOPPaidStreamingMemberships_1</vt:lpstr>
      <vt:lpstr>z_NVC8NN0168_MO_OS_LatinAmericaEOPPaidStreamingMembershipsmix</vt:lpstr>
      <vt:lpstr>z_NVC8NN0168_MO_OS_LatinAmericapaidstreamingmembershipsnetadditions</vt:lpstr>
      <vt:lpstr>z_NVC8NN0168_MO_OS_LatinAmericaPaidStreamingMembershipsNetAdditions_1</vt:lpstr>
      <vt:lpstr>z_NVC8NN0168_MO_OS_LatinAmericaPaidStreamingMembershipsNetAdditionsMix</vt:lpstr>
      <vt:lpstr>z_NVC8NN0168_MO_OS_LatinAmericaStreamingARPU</vt:lpstr>
      <vt:lpstr>z_NVC8NN0168_MO_OS_LatinAmericaStreamingARPU_1</vt:lpstr>
      <vt:lpstr>z_NVC8NN0168_MO_OS_LatinAmericaStreamingRevenue</vt:lpstr>
      <vt:lpstr>z_NVC8NN0168_MO_OS_LatinAmericaStreamingRevenue_1</vt:lpstr>
      <vt:lpstr>z_NVC8NN0168_MO_OS_LatinAmericaStreamingRevenueMix</vt:lpstr>
      <vt:lpstr>z_NVC8NN0168_MO_OS_Lessthanoneyear</vt:lpstr>
      <vt:lpstr>z_NVC8NN0168_MO_OS_Licensedcontent</vt:lpstr>
      <vt:lpstr>z_NVC8NN0168_MO_OS_MarketingChangeAdvertisingandpaymentstopartners</vt:lpstr>
      <vt:lpstr>z_NVC8NN0168_MO_OS_MarketingChangeDiscrepancy</vt:lpstr>
      <vt:lpstr>z_NVC8NN0168_MO_OS_MarketingChangePersonnelrelatedexpenses</vt:lpstr>
      <vt:lpstr>z_NVC8NN0168_MO_OS_NetDomesticPaidDVDMembershipsChange</vt:lpstr>
      <vt:lpstr>z_NVC8NN0168_MO_OS_netdomesticpaidstreamingmembershipschange</vt:lpstr>
      <vt:lpstr>z_NVC8NN0168_MO_OS_NetflixstreamingasofTVtime</vt:lpstr>
      <vt:lpstr>z_NVC8NN0168_MO_OS_netinternationalpaidstreamingmembershipschange</vt:lpstr>
      <vt:lpstr>z_NVC8NN0168_MO_OS_Noncurrentcontentliabilities</vt:lpstr>
      <vt:lpstr>z_NVC8NN0168_MO_OS_Otheradditionssubtractions</vt:lpstr>
      <vt:lpstr>z_NVC8NN0168_MO_OS_OtherasofTVtime</vt:lpstr>
      <vt:lpstr>z_NVC8NN0168_MO_OS_OtherCOGS</vt:lpstr>
      <vt:lpstr>z_NVC8NN0168_MO_OS_OtherCOGSMargin</vt:lpstr>
      <vt:lpstr>z_NVC8NN0168_MO_OS_Othercurrentassets</vt:lpstr>
      <vt:lpstr>z_NVC8NN0168_MO_OS_OthercurrentassetsYYChange</vt:lpstr>
      <vt:lpstr>z_NVC8NN0168_MO_OS_OtherobligationsnotreflectedinBalancesheet</vt:lpstr>
      <vt:lpstr>z_NVC8NN0168_MO_OS_OtherstreamingasofTVtime</vt:lpstr>
      <vt:lpstr>z_NVC8NN0168_MO_OS_PreviousCOGS</vt:lpstr>
      <vt:lpstr>z_NVC8NN0168_MO_OS_PreviousDomesticCOGS</vt:lpstr>
      <vt:lpstr>z_NVC8NN0168_MO_OS_PreviousGA</vt:lpstr>
      <vt:lpstr>z_NVC8NN0168_MO_OS_PreviousInternationalCOGS</vt:lpstr>
      <vt:lpstr>z_NVC8NN0168_MO_OS_PreviousMarketing</vt:lpstr>
      <vt:lpstr>z_NVC8NN0168_MO_OS_PreviousTechnologyandDevelopment</vt:lpstr>
      <vt:lpstr>z_NVC8NN0168_MO_OS_PrimeVideostreamingasofTVtime</vt:lpstr>
      <vt:lpstr>z_NVC8NN0168_MO_OS_Producedcontent</vt:lpstr>
      <vt:lpstr>z_NVC8NN0168_MO_OS_QQAsiaPacificaveragepayingmembershipsgrowth</vt:lpstr>
      <vt:lpstr>z_NVC8NN0168_MO_OS_QQAsiaPacificEOPpaidstreamingmembershipsgrowth</vt:lpstr>
      <vt:lpstr>z_NVC8NN0168_MO_OS_QQAsiaPacificstreamingARPUgrowth</vt:lpstr>
      <vt:lpstr>z_NVC8NN0168_MO_OS_QQAsiaPacificStreamingRevenuegrowth</vt:lpstr>
      <vt:lpstr>z_NVC8NN0168_MO_OS_QQCalculatedCanadaEOPpaidstreamingmembershipgrowth</vt:lpstr>
      <vt:lpstr>z_NVC8NN0168_MO_OS_QQEMEAaveragepayingmembershipsgrowth</vt:lpstr>
      <vt:lpstr>z_NVC8NN0168_MO_OS_QQEMEAEOPpaidstreamingmembershipsgrowth</vt:lpstr>
      <vt:lpstr>z_NVC8NN0168_MO_OS_QQEMEAstreamingARPUgrowth</vt:lpstr>
      <vt:lpstr>z_NVC8NN0168_MO_OS_QQEMEAstreamingrevenuegrowth</vt:lpstr>
      <vt:lpstr>z_NVC8NN0168_MO_OS_QQGlobalEOPpaidstreamingmembershipsgrowth</vt:lpstr>
      <vt:lpstr>z_NVC8NN0168_MO_OS_QQGlobalstreamingARPUgrowth</vt:lpstr>
      <vt:lpstr>z_NVC8NN0168_MO_OS_QQLatinAmericaaveragepayingmembershipsgrowth</vt:lpstr>
      <vt:lpstr>z_NVC8NN0168_MO_OS_QQLatinAmericaEOPpaidstreamingmembershipsgrowth</vt:lpstr>
      <vt:lpstr>z_NVC8NN0168_MO_OS_QQLatinAmericastreamingARPUgrowth</vt:lpstr>
      <vt:lpstr>z_NVC8NN0168_MO_OS_QQLatinAmericastreamingrevenuegrowth</vt:lpstr>
      <vt:lpstr>z_NVC8NN0168_MO_OS_QQStreamingrevenuegrowth</vt:lpstr>
      <vt:lpstr>z_NVC8NN0168_MO_OS_QQTotalaveragepayingmembershipsgrowth</vt:lpstr>
      <vt:lpstr>z_NVC8NN0168_MO_OS_QQTotalrevenuegrowth</vt:lpstr>
      <vt:lpstr>z_NVC8NN0168_MO_OS_QQUnitedStatesCanadaaveragepayingmembershipsgrowth</vt:lpstr>
      <vt:lpstr>z_NVC8NN0168_MO_OS_QQUnitedStatesCanadaEOPpaidstreamingmembershipsgrowth</vt:lpstr>
      <vt:lpstr>z_NVC8NN0168_MO_OS_QQUnitedStatesCanadastreamingARPUgrowth</vt:lpstr>
      <vt:lpstr>z_NVC8NN0168_MO_OS_QQUnitedStatesCanadastreamingrevenuegrowth</vt:lpstr>
      <vt:lpstr>z_NVC8NN0168_MO_OS_QQUnitedStatesDVDrevenuegrowth</vt:lpstr>
      <vt:lpstr>z_NVC8NN0168_MO_OS_QQUnitedStatesDVDrevenuegrowth_1</vt:lpstr>
      <vt:lpstr>z_NVC8NN0168_MO_OS_QQUnitedStatesEOPpaidstreamingmembershipgrowth</vt:lpstr>
      <vt:lpstr>z_NVC8NN0168_MO_OS_RDExpense</vt:lpstr>
      <vt:lpstr>z_NVC8NN0168_MO_OS_RDMargin</vt:lpstr>
      <vt:lpstr>z_NVC8NN0168_MO_OS_Released</vt:lpstr>
      <vt:lpstr>z_NVC8NN0168_MO_OS_Revenue_4</vt:lpstr>
      <vt:lpstr>z_NVC8NN0168_MO_OS_SMExpense</vt:lpstr>
      <vt:lpstr>z_NVC8NN0168_MO_OS_SMMargin</vt:lpstr>
      <vt:lpstr>z_NVC8NN0168_MO_OS_TechDevChangeDiscrepancy</vt:lpstr>
      <vt:lpstr>z_NVC8NN0168_MO_OS_TechDevChangePersonnelexpenses</vt:lpstr>
      <vt:lpstr>z_NVC8NN0168_MO_OS_TechDevChangeThirdpartyexpenses</vt:lpstr>
      <vt:lpstr>z_NVC8NN0168_MO_OS_TotalAveragePayingMemberships</vt:lpstr>
      <vt:lpstr>z_NVC8NN0168_MO_OS_totalcogs</vt:lpstr>
      <vt:lpstr>z_NVC8NN0168_MO_OS_TotalCOGS_1</vt:lpstr>
      <vt:lpstr>z_NVC8NN0168_MO_OS_TotalContentAssets</vt:lpstr>
      <vt:lpstr>z_NVC8NN0168_MO_OS_TotalContentObligations</vt:lpstr>
      <vt:lpstr>z_NVC8NN0168_MO_OS_TotalContentObligations_1</vt:lpstr>
      <vt:lpstr>z_NVC8NN0168_MO_OS_TotalEOPGlobalStreamingMembershipsMix</vt:lpstr>
      <vt:lpstr>z_NVC8NN0168_MO_OS_TotalEOPpaidstreamingmemberships</vt:lpstr>
      <vt:lpstr>z_NVC8NN0168_MO_OS_Totalfreetrials</vt:lpstr>
      <vt:lpstr>z_NVC8NN0168_MO_OS_TotalFulltimeEmployees</vt:lpstr>
      <vt:lpstr>z_NVC8NN0168_MO_OS_TotalGlobalEOPPaidStreamingMemberships</vt:lpstr>
      <vt:lpstr>z_NVC8NN0168_MO_OS_TotalGlobalStreamingARPU</vt:lpstr>
      <vt:lpstr>z_NVC8NN0168_MO_OS_totalmarketingexpense</vt:lpstr>
      <vt:lpstr>z_NVC8NN0168_MO_OS_totalnetcontribution</vt:lpstr>
      <vt:lpstr>z_NVC8NN0168_MO_OS_TotalNetContributionmargin</vt:lpstr>
      <vt:lpstr>z_NVC8NN0168_MO_OS_Totalpaidstreamingmembershipsnetadditions</vt:lpstr>
      <vt:lpstr>z_NVC8NN0168_MO_OS_TotalPaidStreamingMembershipsNetAdditions_1</vt:lpstr>
      <vt:lpstr>z_NVC8NN0168_MO_OS_TotalPaidStreamingMembershipsNetAdditionsMix</vt:lpstr>
      <vt:lpstr>z_NVC8NN0168_MO_OS_totalrevenue</vt:lpstr>
      <vt:lpstr>z_NVC8NN0168_MO_OS_TotalRevenue_2</vt:lpstr>
      <vt:lpstr>z_NVC8NN0168_MO_OS_TotalRevenue_3</vt:lpstr>
      <vt:lpstr>z_NVC8NN0168_MO_OS_TotalRevenueGrowth</vt:lpstr>
      <vt:lpstr>z_NVC8NN0168_MO_OS_TotalRevenueMixmm</vt:lpstr>
      <vt:lpstr>z_NVC8NN0168_MO_OS_TotalStreamingasofTVtime</vt:lpstr>
      <vt:lpstr>z_NVC8NN0168_MO_OS_TotalStreamingRevenue</vt:lpstr>
      <vt:lpstr>z_NVC8NN0168_MO_OS_TotalStreamingRevenue_1</vt:lpstr>
      <vt:lpstr>z_NVC8NN0168_MO_OS_TotalStreamingRevenueMix</vt:lpstr>
      <vt:lpstr>z_NVC8NN0168_MO_OS_TotalUSTVTime</vt:lpstr>
      <vt:lpstr>z_NVC8NN0168_MO_OS_UnitedStatesandCanadapaidstreamingmembershipsnetadditions</vt:lpstr>
      <vt:lpstr>z_NVC8NN0168_MO_OS_UnitedStatesandCanadaPaidStreamingMembershipsNetAdditions_1</vt:lpstr>
      <vt:lpstr>z_NVC8NN0168_MO_OS_UnitedStatesandCanadaPaidStreamingMembershipsNetAdditionsMix</vt:lpstr>
      <vt:lpstr>z_NVC8NN0168_MO_OS_UnitedStatesCanadaAveragePayingMemberships</vt:lpstr>
      <vt:lpstr>z_NVC8NN0168_MO_OS_UnitedStatesCanadaemployees</vt:lpstr>
      <vt:lpstr>z_NVC8NN0168_MO_OS_UnitedStatesCanadaEOPpaidstreamingmemberships</vt:lpstr>
      <vt:lpstr>z_NVC8NN0168_MO_OS_UnitedStatesCanadaEOPPaidStreamingMemberships_1</vt:lpstr>
      <vt:lpstr>z_NVC8NN0168_MO_OS_UnitedStatesCanadaEOPPaidStreamingMembershipsmix</vt:lpstr>
      <vt:lpstr>z_NVC8NN0168_MO_OS_UnitedStatesCanadaStreamingARPU</vt:lpstr>
      <vt:lpstr>z_NVC8NN0168_MO_OS_UnitedStatesCanadaStreamingARPU_1</vt:lpstr>
      <vt:lpstr>z_NVC8NN0168_MO_OS_UnitedStatesCanadaStreamingRevenue</vt:lpstr>
      <vt:lpstr>z_NVC8NN0168_MO_OS_UnitedStatesCanadaStreamingRevenue_1</vt:lpstr>
      <vt:lpstr>z_NVC8NN0168_MO_OS_UnitedStatesCanadaStreamingRevenueMix</vt:lpstr>
      <vt:lpstr>z_NVC8NN0168_MO_OS_UnitedStatesDVDARPU</vt:lpstr>
      <vt:lpstr>z_NVC8NN0168_MO_OS_UnitedStatesDVDRevenue</vt:lpstr>
      <vt:lpstr>z_NVC8NN0168_MO_OS_UnitedStatesDVDRevenue_1</vt:lpstr>
      <vt:lpstr>z_NVC8NN0168_MO_OS_UnitedStatesDVDRevenue_2</vt:lpstr>
      <vt:lpstr>z_NVC8NN0168_MO_OS_UnitedStatesDVDRevenueMix</vt:lpstr>
      <vt:lpstr>z_NVC8NN0168_MO_OS_UnitedStatesEOPpaidstreamingmemberships</vt:lpstr>
      <vt:lpstr>z_NVC8NN0168_MO_OS_UnitedStatesEOPpaidstreamingmemberships_1</vt:lpstr>
      <vt:lpstr>z_NVC8NN0168_MO_OS_UnitedStatesEOPpaidstreamingmembershipsmix</vt:lpstr>
      <vt:lpstr>z_NVC8NN0168_MO_OS_UnitedStatespaidstreamingmembershipsnetadditions</vt:lpstr>
      <vt:lpstr>z_NVC8NN0168_MO_OS_UnitedStatespaidstreamingmembershipsnetadditions_1</vt:lpstr>
      <vt:lpstr>z_NVC8NN0168_MO_OS_UnitedStatesStreamingARPU</vt:lpstr>
      <vt:lpstr>z_NVC8NN0168_MO_OS_UnitedStatesStreamingARPU_1</vt:lpstr>
      <vt:lpstr>z_NVC8NN0168_MO_OS_UnitedStatesStreamingRevenue</vt:lpstr>
      <vt:lpstr>z_NVC8NN0168_MO_OS_UnitedStatesstreamingrevenue_1</vt:lpstr>
      <vt:lpstr>z_NVC8NN0168_MO_OS_UnitedStatesstreamingrevenuemix</vt:lpstr>
      <vt:lpstr>z_NVC8NN0168_MO_OS_YouTubestreamingasofTVtime</vt:lpstr>
      <vt:lpstr>z_NVC8NN0168_MO_OS_YYAsiaPacificaveragepayingmembershipsgrowth</vt:lpstr>
      <vt:lpstr>z_NVC8NN0168_MO_OS_YYEMEAaveragepayingmembershipsgrowth</vt:lpstr>
      <vt:lpstr>z_NVC8NN0168_MO_OS_YYGlobalstreamingconstantcurrencyARPUgrowth</vt:lpstr>
      <vt:lpstr>z_NVC8NN0168_MO_OS_YYgrowthinEBIT</vt:lpstr>
      <vt:lpstr>z_NVC8NN0168_MO_OS_YYgrowthinGAexpense</vt:lpstr>
      <vt:lpstr>z_NVC8NN0168_MO_OS_YYgrowthingrossprofit</vt:lpstr>
      <vt:lpstr>z_NVC8NN0168_MO_OS_YYgrowthinRDexpense</vt:lpstr>
      <vt:lpstr>z_NVC8NN0168_MO_OS_YYgrowthinSMexpense</vt:lpstr>
      <vt:lpstr>z_NVC8NN0168_MO_OS_YYimprovementinEBITMargin</vt:lpstr>
      <vt:lpstr>z_NVC8NN0168_MO_OS_YYimprovementinGAMargin</vt:lpstr>
      <vt:lpstr>z_NVC8NN0168_MO_OS_YYimprovementinGrossMargin</vt:lpstr>
      <vt:lpstr>z_NVC8NN0168_MO_OS_YYimprovementinOtherCOGSMargin</vt:lpstr>
      <vt:lpstr>z_NVC8NN0168_MO_OS_YYimprovementinRDMargin</vt:lpstr>
      <vt:lpstr>z_NVC8NN0168_MO_OS_YYimprovementinSMMargin</vt:lpstr>
      <vt:lpstr>z_NVC8NN0168_MO_OS_YYLatinAmericaaveragepayingmembershipsgrowth</vt:lpstr>
      <vt:lpstr>z_NVC8NN0168_MO_OS_YYTotalaveragepayingmembershipsgrowth</vt:lpstr>
      <vt:lpstr>z_NVC8NN0168_MO_OS_YYTotalconstantcurrencyrevenuegrowthcalculated</vt:lpstr>
      <vt:lpstr>z_NVC8NN0168_MO_OS_YYUnitedStatesCanadaaveragepayingmembershipsgrowth</vt:lpstr>
      <vt:lpstr>z_NVC8NN0168_MO_OS_YYUnitedStatesDVDrevenuegrowth</vt:lpstr>
      <vt:lpstr>z_NVC8NN0168_MO_RIS_AdjustedEarningsPerShareWAD</vt:lpstr>
      <vt:lpstr>z_NVC8NN0168_MO_RIS_AdjustedEBITDA</vt:lpstr>
      <vt:lpstr>z_NVC8NN0168_MO_RIS_AdjustedEBITNoAdjustments</vt:lpstr>
      <vt:lpstr>z_NVC8NN0168_MO_RIS_AdjustedNetIncome</vt:lpstr>
      <vt:lpstr>z_NVC8NN0168_MO_RIS_AdjustedSharesOutstandingWAD</vt:lpstr>
      <vt:lpstr>z_NVC8NN0168_MO_RIS_AdjustmentsforConvertibleSecurities</vt:lpstr>
      <vt:lpstr>z_NVC8NN0168_MO_RIS_COGS_1</vt:lpstr>
      <vt:lpstr>z_NVC8NN0168_MO_RIS_consensusestimatesadjustedearningspersharewad</vt:lpstr>
      <vt:lpstr>z_NVC8NN0168_MO_RIS_ConsensusEstimatesAdjustedEBIT_1</vt:lpstr>
      <vt:lpstr>z_NVC8NN0168_MO_RIS_consensusestimatesadjustedebitda</vt:lpstr>
      <vt:lpstr>z_NVC8NN0168_MO_RIS_consensusestimatesnetrevenue</vt:lpstr>
      <vt:lpstr>z_NVC8NN0168_MO_RIS_Currenttax</vt:lpstr>
      <vt:lpstr>z_NVC8NN0168_MO_RIS_Currenttaxrate</vt:lpstr>
      <vt:lpstr>z_NVC8NN0168_MO_RIS_DA</vt:lpstr>
      <vt:lpstr>z_NVC8NN0168_MO_RIS_Deferredtax</vt:lpstr>
      <vt:lpstr>z_NVC8NN0168_MO_RIS_Deferredtaxrate</vt:lpstr>
      <vt:lpstr>z_NVC8NN0168_MO_RIS_DilutedNetIncometoCommonShareholders</vt:lpstr>
      <vt:lpstr>z_NVC8NN0168_MO_RIS_DiscontinuedOperations</vt:lpstr>
      <vt:lpstr>z_NVC8NN0168_MO_RIS_EarningsPerShareWAB</vt:lpstr>
      <vt:lpstr>z_NVC8NN0168_MO_RIS_EarningsPerShareWAD</vt:lpstr>
      <vt:lpstr>z_NVC8NN0168_MO_RIS_EarningstoPreferredandOtherSecurities</vt:lpstr>
      <vt:lpstr>z_NVC8NN0168_MO_RIS_EBIT_2</vt:lpstr>
      <vt:lpstr>z_NVC8NN0168_MO_RIS_EBITDA_1</vt:lpstr>
      <vt:lpstr>z_NVC8NN0168_MO_RIS_EBT</vt:lpstr>
      <vt:lpstr>z_NVC8NN0168_MO_RIS_GA</vt:lpstr>
      <vt:lpstr>z_NVC8NN0168_MO_RIS_GrossProfit</vt:lpstr>
      <vt:lpstr>z_NVC8NN0168_MO_RIS_Interestexpense</vt:lpstr>
      <vt:lpstr>z_NVC8NN0168_MO_RIS_Interestincome</vt:lpstr>
      <vt:lpstr>z_NVC8NN0168_MO_RIS_NetIncomefromContinuedOperation</vt:lpstr>
      <vt:lpstr>z_NVC8NN0168_MO_RIS_NetIncometoCommonShareholders</vt:lpstr>
      <vt:lpstr>z_NVC8NN0168_MO_RIS_NetIncometoNCI</vt:lpstr>
      <vt:lpstr>z_NVC8NN0168_MO_RIS_NetRevenue</vt:lpstr>
      <vt:lpstr>z_NVC8NN0168_MO_RIS_NonGAAPAdjustments</vt:lpstr>
      <vt:lpstr>z_NVC8NN0168_MO_RIS_NonGAAPAdjustmentsforDilutiveSecurities</vt:lpstr>
      <vt:lpstr>z_NVC8NN0168_MO_RIS_Onetimeitem</vt:lpstr>
      <vt:lpstr>z_NVC8NN0168_MO_RIS_Otheritems</vt:lpstr>
      <vt:lpstr>z_NVC8NN0168_MO_RIS_RD</vt:lpstr>
      <vt:lpstr>z_NVC8NN0168_MO_RIS_SBC</vt:lpstr>
      <vt:lpstr>z_NVC8NN0168_MO_RIS_SharesOutstandingWAB</vt:lpstr>
      <vt:lpstr>z_NVC8NN0168_MO_RIS_SharesOutstandingWAD</vt:lpstr>
      <vt:lpstr>z_NVC8NN0168_MO_RIS_SM</vt:lpstr>
      <vt:lpstr>z_NVC8NN0168_MO_Section_AN_AdjustedNumbers</vt:lpstr>
      <vt:lpstr>z_NVC8NN0168_MO_Section_BS_BalanceSheet</vt:lpstr>
      <vt:lpstr>z_NVC8NN0168_MO_Section_BSS_BalanceSheetSummary</vt:lpstr>
      <vt:lpstr>z_NVC8NN0168_MO_Section_CCFS_CumulativeCashFlowStatement</vt:lpstr>
      <vt:lpstr>z_NVC8NN0168_MO_Section_CFS_CashFlowStatement</vt:lpstr>
      <vt:lpstr>z_NVC8NN0168_MO_Section_CFSum_CashFlowSummary</vt:lpstr>
      <vt:lpstr>z_NVC8NN0168_MO_Section_DAF_DAForecasting</vt:lpstr>
      <vt:lpstr>z_NVC8NN0168_MO_Section_IS_IncomeStatement</vt:lpstr>
      <vt:lpstr>z_NVC8NN0168_MO_Section_MA_MarginAnalysis</vt:lpstr>
      <vt:lpstr>z_NVC8NN0168_MO_Section_MC_ModelChecks</vt:lpstr>
      <vt:lpstr>z_NVC8NN0168_MO_Section_OS_Canalyst</vt:lpstr>
      <vt:lpstr>z_NVC8NN0168_MO_Section_OS_KeyMetricsContentAssetsBreakdownFS</vt:lpstr>
      <vt:lpstr>z_NVC8NN0168_MO_Section_OS_KeyMetricsHeadcountFS</vt:lpstr>
      <vt:lpstr>z_NVC8NN0168_MO_Section_OS_KeyMetricsShareofUSTVTimePR</vt:lpstr>
      <vt:lpstr>z_NVC8NN0168_MO_Section_OS_KeyMetricsYYCostGranularityFS</vt:lpstr>
      <vt:lpstr>z_NVC8NN0168_MO_Section_OS_OperatingExpenseForecasting</vt:lpstr>
      <vt:lpstr>z_NVC8NN0168_MO_Section_OS_OperatingStatsContentLibraryAmortizationSchedule</vt:lpstr>
      <vt:lpstr>z_NVC8NN0168_MO_Section_OS_OperatingStatsMembershipsMDA</vt:lpstr>
      <vt:lpstr>z_NVC8NN0168_MO_Section_OS_SegmentedResultsAsiaPacificStreamingFS</vt:lpstr>
      <vt:lpstr>z_NVC8NN0168_MO_Section_OS_SegmentedResultsCostsBreakdownFS</vt:lpstr>
      <vt:lpstr>z_NVC8NN0168_MO_Section_OS_SegmentedResultsEMEAStreamingFS</vt:lpstr>
      <vt:lpstr>z_NVC8NN0168_MO_Section_OS_SegmentedResultsLatinAmericaStreamingFS</vt:lpstr>
      <vt:lpstr>z_NVC8NN0168_MO_Section_OS_SegmentedResultsRevenueBreakdownBasedOnOldSegmentationFSHistorical</vt:lpstr>
      <vt:lpstr>z_NVC8NN0168_MO_Section_OS_SegmentedResultsRevenueBreakdownBasedOnOldSegmentationFSHistorical_1</vt:lpstr>
      <vt:lpstr>z_NVC8NN0168_MO_Section_OS_SegmentedResultsUnitedStatesDVDFS</vt:lpstr>
      <vt:lpstr>z_NVC8NN0168_MO_Section_OS_SegmentedResultsUSandCanadaStreamingFS</vt:lpstr>
      <vt:lpstr>z_NVC8NN0168_MO_Section_OS_SegmentSummary</vt:lpstr>
      <vt:lpstr>z_NVC8NN0168_MO_Section_OS_WorkingCapitalForecasting</vt:lpstr>
      <vt:lpstr>z_NVC8NN0168_MO_Section_RIS_RevisedIncomeStatement</vt:lpstr>
      <vt:lpstr>z_NVC8NN0168_MO_Section_SNA_Canalyst</vt:lpstr>
      <vt:lpstr>z_NVC8NN0168_MO_Section_TB_Tables</vt:lpstr>
      <vt:lpstr>z_NVC8NN0168_MO_Section_VA_Valuation</vt:lpstr>
      <vt:lpstr>z_NVC8NN0168_MO_Unstructured_SNA_AdjustedEarningsPerShareWAD</vt:lpstr>
      <vt:lpstr>z_NVC8NN0168_MO_Unstructured_SNA_AdjustedEBITDA</vt:lpstr>
      <vt:lpstr>z_NVC8NN0168_MO_Unstructured_SNA_AdjustedEBITNoAdjustments</vt:lpstr>
      <vt:lpstr>z_NVC8NN0168_MO_Unstructured_SNA_Avg</vt:lpstr>
      <vt:lpstr>z_NVC8NN0168_MO_Unstructured_SNA_Bloomberg</vt:lpstr>
      <vt:lpstr>z_NVC8NN0168_MO_Unstructured_SNA_Bloomberg_1</vt:lpstr>
      <vt:lpstr>z_NVC8NN0168_MO_Unstructured_SNA_Bloomberg_2</vt:lpstr>
      <vt:lpstr>z_NVC8NN0168_MO_Unstructured_SNA_Bloomberg_3</vt:lpstr>
      <vt:lpstr>z_NVC8NN0168_MO_Unstructured_SNA_CapitalIQ</vt:lpstr>
      <vt:lpstr>z_NVC8NN0168_MO_Unstructured_SNA_CapitalIQ_1</vt:lpstr>
      <vt:lpstr>z_NVC8NN0168_MO_Unstructured_SNA_CapitalIQ_2</vt:lpstr>
      <vt:lpstr>z_NVC8NN0168_MO_Unstructured_SNA_CapitalIQ_3</vt:lpstr>
      <vt:lpstr>z_NVC8NN0168_MO_Unstructured_SNA_ConsensusEstimatesAdjustedEarningsPerShareWAD</vt:lpstr>
      <vt:lpstr>z_NVC8NN0168_MO_Unstructured_SNA_ConsensusEstimatesAdjustedEBIT_1</vt:lpstr>
      <vt:lpstr>z_NVC8NN0168_MO_Unstructured_SNA_ConsensusEstimatesAdjustedEBITDA</vt:lpstr>
      <vt:lpstr>z_NVC8NN0168_MO_Unstructured_SNA_ConsensusEstimatesCapex</vt:lpstr>
      <vt:lpstr>z_NVC8NN0168_MO_Unstructured_SNA_ConsensusEstimatesCashFlowPerDilutedShare</vt:lpstr>
      <vt:lpstr>z_NVC8NN0168_MO_Unstructured_SNA_ConsensusEstimatesGrossMargin</vt:lpstr>
      <vt:lpstr>z_NVC8NN0168_MO_Unstructured_SNA_ConsensusEstimatesNetRevenue</vt:lpstr>
      <vt:lpstr>z_NVC8NN0168_MO_Unstructured_SNA_ConsensusEstimateTable</vt:lpstr>
      <vt:lpstr>z_NVC8NN0168_MO_Unstructured_SNA_CurrentFiscalYear</vt:lpstr>
      <vt:lpstr>z_NVC8NN0168_MO_Unstructured_SNA_DataSourceIndex</vt:lpstr>
      <vt:lpstr>z_NVC8NN0168_MO_Unstructured_SNA_EVEBITDAAvg</vt:lpstr>
      <vt:lpstr>z_NVC8NN0168_MO_Unstructured_SNA_FactSet</vt:lpstr>
      <vt:lpstr>z_NVC8NN0168_MO_Unstructured_SNA_FactSet_1</vt:lpstr>
      <vt:lpstr>z_NVC8NN0168_MO_Unstructured_SNA_FactSet_2</vt:lpstr>
      <vt:lpstr>z_NVC8NN0168_MO_Unstructured_SNA_FactSet_3</vt:lpstr>
      <vt:lpstr>z_NVC8NN0168_MO_Unstructured_SNA_FirstForecastFiscalYear</vt:lpstr>
      <vt:lpstr>z_NVC8NN0168_MO_Unstructured_SNA_FiscalPeriodStartDate</vt:lpstr>
      <vt:lpstr>z_NVC8NN0168_MO_Unstructured_SNA_FXAverageRealTimeOffSource</vt:lpstr>
      <vt:lpstr>z_NVC8NN0168_MO_Unstructured_SNA_FYorFQ</vt:lpstr>
      <vt:lpstr>z_NVC8NN0168_MO_Unstructured_SNA_GeneralTable</vt:lpstr>
      <vt:lpstr>z_NVC8NN0168_MO_Unstructured_SNA_High</vt:lpstr>
      <vt:lpstr>z_NVC8NN0168_MO_Unstructured_SNA_IsHistoricalPeriod</vt:lpstr>
      <vt:lpstr>z_NVC8NN0168_MO_Unstructured_SNA_KeyOutputs</vt:lpstr>
      <vt:lpstr>z_NVC8NN0168_MO_Unstructured_SNA_LastPrice</vt:lpstr>
      <vt:lpstr>z_NVC8NN0168_MO_Unstructured_SNA_LastPriceDate</vt:lpstr>
      <vt:lpstr>z_NVC8NN0168_MO_Unstructured_SNA_LastPriceFormula</vt:lpstr>
      <vt:lpstr>z_NVC8NN0168_MO_Unstructured_SNA_Low</vt:lpstr>
      <vt:lpstr>z_NVC8NN0168_MO_Unstructured_SNA_ModelSheetCurrencyHardcoded</vt:lpstr>
      <vt:lpstr>z_NVC8NN0168_MO_Unstructured_SNA_MostRecentFiscalPeriodMRFP</vt:lpstr>
      <vt:lpstr>z_NVC8NN0168_MO_Unstructured_SNA_MostRecentFX</vt:lpstr>
      <vt:lpstr>z_NVC8NN0168_MO_Unstructured_SNA_MostRecentFXHardcoded</vt:lpstr>
      <vt:lpstr>z_NVC8NN0168_MO_Unstructured_SNA_MRFPColumnNumber</vt:lpstr>
      <vt:lpstr>z_NVC8NN0168_MO_Unstructured_SNA_NASDAQNFLX</vt:lpstr>
      <vt:lpstr>z_NVC8NN0168_MO_Unstructured_SNA_NetRevenue</vt:lpstr>
      <vt:lpstr>z_NVC8NN0168_MO_Unstructured_SNA_NFLXOQ</vt:lpstr>
      <vt:lpstr>z_NVC8NN0168_MO_Unstructured_SNA_NFLXUS</vt:lpstr>
      <vt:lpstr>z_NVC8NN0168_MO_Unstructured_SNA_NFLXUS_1</vt:lpstr>
      <vt:lpstr>z_NVC8NN0168_MO_Unstructured_SNA_PEAvg</vt:lpstr>
      <vt:lpstr>z_NVC8NN0168_MO_Unstructured_SNA_Period</vt:lpstr>
      <vt:lpstr>z_NVC8NN0168_MO_Unstructured_SNA_RealTimeOffSource</vt:lpstr>
      <vt:lpstr>z_NVC8NN0168_MO_Unstructured_SNA_RealTimeOffSource_1</vt:lpstr>
      <vt:lpstr>z_NVC8NN0168_MO_Unstructured_SNA_RealTimeOffSource_2</vt:lpstr>
      <vt:lpstr>z_NVC8NN0168_MO_Unstructured_SNA_RealTimeOffSource_3</vt:lpstr>
      <vt:lpstr>z_NVC8NN0168_MO_Unstructured_SNA_RealTimeStockPrice</vt:lpstr>
      <vt:lpstr>z_NVC8NN0168_MO_Unstructured_SNA_Refinitiv</vt:lpstr>
      <vt:lpstr>z_NVC8NN0168_MO_Unstructured_SNA_Refinitiv_1</vt:lpstr>
      <vt:lpstr>z_NVC8NN0168_MO_Unstructured_SNA_Refinitiv_2</vt:lpstr>
      <vt:lpstr>z_NVC8NN0168_MO_Unstructured_SNA_Refinitiv_3</vt:lpstr>
      <vt:lpstr>z_NVC8NN0168_MO_Unstructured_SNA_StockAverageRealTimeOffSource</vt:lpstr>
      <vt:lpstr>z_NVC8NN0168_MO_Unstructured_SNA_StockHighRealTimeOffSource</vt:lpstr>
      <vt:lpstr>z_NVC8NN0168_MO_Unstructured_SNA_StockLowRealTimeOffSource</vt:lpstr>
      <vt:lpstr>z_NVC8NN0168_MO_Unstructured_SNA_StockPriceTable</vt:lpstr>
      <vt:lpstr>z_NVC8NN0168_MO_Unstructured_SNA_TickerSymbol</vt:lpstr>
      <vt:lpstr>z_NVC8NN0168_MO_Unstructured_SNA_TradeCurrency</vt:lpstr>
      <vt:lpstr>z_NVC8NN0168_MO_Unstructured_SNA_TradeCurrencyHardcoded</vt:lpstr>
      <vt:lpstr>z_NVC8NN0168_MO_Unstructured_SNA_ValuationToggleTable</vt:lpstr>
      <vt:lpstr>z_NVC8NN0168_MO_VA_EnterpriseValueAverage</vt:lpstr>
      <vt:lpstr>z_NVC8NN0168_MO_VA_enterprisevaluecomponents</vt:lpstr>
      <vt:lpstr>z_NVC8NN0168_MO_VA_EVEBITDAAverage</vt:lpstr>
      <vt:lpstr>z_NVC8NN0168_MO_VA_FCFYieldtoAverageEnterpriseValue</vt:lpstr>
      <vt:lpstr>z_NVC8NN0168_MO_VA_FCFYieldtoAverageMarketCap</vt:lpstr>
      <vt:lpstr>z_NVC8NN0168_MO_VA_MarketCapAverage</vt:lpstr>
      <vt:lpstr>z_NVC8NN0168_MO_VA_NoncontrollingInterest</vt:lpstr>
      <vt:lpstr>z_NVC8NN0168_MO_VA_OtherEVComponents</vt:lpstr>
      <vt:lpstr>z_NVC8NN0168_MO_VA_PCFAverage</vt:lpstr>
      <vt:lpstr>z_NVC8NN0168_MO_VA_PEAverage</vt:lpstr>
      <vt:lpstr>z_NVC8NN0168_MO_VA_PreferredShares</vt:lpstr>
      <vt:lpstr>z_NVC8NN0168_MO_VA_StockAvg</vt:lpstr>
      <vt:lpstr>z_NVC8NN0168_MO_VA_StockHigh</vt:lpstr>
      <vt:lpstr>z_NVC8NN0168_MO_VA_StockLow</vt:lpstr>
      <vt:lpstr>z_NVC8NN0168_MO_VA_StockPriceAverage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Canalyst</dc:creator>
  <cp:keywords/>
  <dc:description/>
  <cp:lastModifiedBy>Canalyst (AA)</cp:lastModifiedBy>
  <cp:lastPrinted>2020-01-21T22:41:50Z</cp:lastPrinted>
  <dcterms:created xsi:type="dcterms:W3CDTF">2016-04-22T21:21:10Z</dcterms:created>
  <dcterms:modified xsi:type="dcterms:W3CDTF">2022-01-07T18:26:43Z</dcterms:modified>
  <cp:category/>
</cp:coreProperties>
</file>